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Bigstwnz\gruppen\Netzmanagement\NNM\Gas\Kooperationsvereinbarung Gas\KOV VIII\"/>
    </mc:Choice>
  </mc:AlternateContent>
  <bookViews>
    <workbookView xWindow="0" yWindow="0" windowWidth="28800" windowHeight="12585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F29" i="17" l="1"/>
  <c r="F25" i="7"/>
  <c r="H25" i="7"/>
  <c r="Q25" i="7" s="1"/>
  <c r="I25" i="7"/>
  <c r="J25" i="7"/>
  <c r="K25" i="7"/>
  <c r="L25" i="7"/>
  <c r="M25" i="7"/>
  <c r="N25" i="7"/>
  <c r="O25" i="7"/>
  <c r="P25" i="7"/>
  <c r="R25" i="7"/>
  <c r="S25" i="7"/>
  <c r="X25" i="7" s="1"/>
  <c r="T25" i="7"/>
  <c r="U25" i="7"/>
  <c r="V25" i="7"/>
  <c r="W25" i="7"/>
  <c r="F26" i="7"/>
  <c r="H26" i="7"/>
  <c r="I26" i="7"/>
  <c r="J26" i="7"/>
  <c r="K26" i="7"/>
  <c r="L26" i="7"/>
  <c r="M26" i="7"/>
  <c r="N26" i="7"/>
  <c r="O26" i="7"/>
  <c r="P26" i="7"/>
  <c r="R26" i="7"/>
  <c r="X26" i="7" s="1"/>
  <c r="S26" i="7"/>
  <c r="T26" i="7"/>
  <c r="U26" i="7"/>
  <c r="V26" i="7"/>
  <c r="W26" i="7"/>
  <c r="W24" i="7"/>
  <c r="V24" i="7"/>
  <c r="U24" i="7"/>
  <c r="T24" i="7"/>
  <c r="S24" i="7"/>
  <c r="R24" i="7"/>
  <c r="X24" i="7" s="1"/>
  <c r="P24" i="7"/>
  <c r="O24" i="7"/>
  <c r="N24" i="7"/>
  <c r="M24" i="7"/>
  <c r="L24" i="7"/>
  <c r="K24" i="7"/>
  <c r="J24" i="7"/>
  <c r="I24" i="7"/>
  <c r="H24" i="7"/>
  <c r="Q24" i="7" s="1"/>
  <c r="F24" i="7"/>
  <c r="W23" i="7"/>
  <c r="V23" i="7"/>
  <c r="U23" i="7"/>
  <c r="T23" i="7"/>
  <c r="S23" i="7"/>
  <c r="X23" i="7" s="1"/>
  <c r="R23" i="7"/>
  <c r="P23" i="7"/>
  <c r="O23" i="7"/>
  <c r="N23" i="7"/>
  <c r="M23" i="7"/>
  <c r="L23" i="7"/>
  <c r="K23" i="7"/>
  <c r="J23" i="7"/>
  <c r="I23" i="7"/>
  <c r="H23" i="7"/>
  <c r="Q23" i="7" s="1"/>
  <c r="F23" i="7"/>
  <c r="W22" i="7"/>
  <c r="V22" i="7"/>
  <c r="U22" i="7"/>
  <c r="T22" i="7"/>
  <c r="S22" i="7"/>
  <c r="X22" i="7" s="1"/>
  <c r="R22" i="7"/>
  <c r="P22" i="7"/>
  <c r="O22" i="7"/>
  <c r="N22" i="7"/>
  <c r="M22" i="7"/>
  <c r="L22" i="7"/>
  <c r="K22" i="7"/>
  <c r="J22" i="7"/>
  <c r="I22" i="7"/>
  <c r="H22" i="7"/>
  <c r="Q22" i="7" s="1"/>
  <c r="F22" i="7"/>
  <c r="W21" i="7"/>
  <c r="V21" i="7"/>
  <c r="U21" i="7"/>
  <c r="T21" i="7"/>
  <c r="S21" i="7"/>
  <c r="R21" i="7"/>
  <c r="X21" i="7" s="1"/>
  <c r="P21" i="7"/>
  <c r="O21" i="7"/>
  <c r="N21" i="7"/>
  <c r="M21" i="7"/>
  <c r="L21" i="7"/>
  <c r="K21" i="7"/>
  <c r="J21" i="7"/>
  <c r="I21" i="7"/>
  <c r="H21" i="7"/>
  <c r="Q21" i="7" s="1"/>
  <c r="F21" i="7"/>
  <c r="W20" i="7"/>
  <c r="V20" i="7"/>
  <c r="U20" i="7"/>
  <c r="T20" i="7"/>
  <c r="S20" i="7"/>
  <c r="R20" i="7"/>
  <c r="X20" i="7" s="1"/>
  <c r="P20" i="7"/>
  <c r="O20" i="7"/>
  <c r="N20" i="7"/>
  <c r="M20" i="7"/>
  <c r="L20" i="7"/>
  <c r="K20" i="7"/>
  <c r="J20" i="7"/>
  <c r="I20" i="7"/>
  <c r="Q20" i="7" s="1"/>
  <c r="H20" i="7"/>
  <c r="F20" i="7"/>
  <c r="W19" i="7"/>
  <c r="V19" i="7"/>
  <c r="U19" i="7"/>
  <c r="T19" i="7"/>
  <c r="S19" i="7"/>
  <c r="X19" i="7" s="1"/>
  <c r="R19" i="7"/>
  <c r="P19" i="7"/>
  <c r="O19" i="7"/>
  <c r="N19" i="7"/>
  <c r="M19" i="7"/>
  <c r="L19" i="7"/>
  <c r="K19" i="7"/>
  <c r="J19" i="7"/>
  <c r="I19" i="7"/>
  <c r="H19" i="7"/>
  <c r="Q19" i="7" s="1"/>
  <c r="F19" i="7"/>
  <c r="W18" i="7"/>
  <c r="V18" i="7"/>
  <c r="U18" i="7"/>
  <c r="T18" i="7"/>
  <c r="S18" i="7"/>
  <c r="R18" i="7"/>
  <c r="X18" i="7" s="1"/>
  <c r="P18" i="7"/>
  <c r="O18" i="7"/>
  <c r="N18" i="7"/>
  <c r="M18" i="7"/>
  <c r="L18" i="7"/>
  <c r="K18" i="7"/>
  <c r="J18" i="7"/>
  <c r="I18" i="7"/>
  <c r="H18" i="7"/>
  <c r="Q18" i="7" s="1"/>
  <c r="F18" i="7"/>
  <c r="W17" i="7"/>
  <c r="V17" i="7"/>
  <c r="U17" i="7"/>
  <c r="T17" i="7"/>
  <c r="S17" i="7"/>
  <c r="X17" i="7" s="1"/>
  <c r="R17" i="7"/>
  <c r="P17" i="7"/>
  <c r="O17" i="7"/>
  <c r="N17" i="7"/>
  <c r="M17" i="7"/>
  <c r="L17" i="7"/>
  <c r="K17" i="7"/>
  <c r="J17" i="7"/>
  <c r="I17" i="7"/>
  <c r="H17" i="7"/>
  <c r="Q17" i="7" s="1"/>
  <c r="F17" i="7"/>
  <c r="W16" i="7"/>
  <c r="V16" i="7"/>
  <c r="U16" i="7"/>
  <c r="T16" i="7"/>
  <c r="S16" i="7"/>
  <c r="R16" i="7"/>
  <c r="X16" i="7" s="1"/>
  <c r="P16" i="7"/>
  <c r="O16" i="7"/>
  <c r="N16" i="7"/>
  <c r="M16" i="7"/>
  <c r="L16" i="7"/>
  <c r="K16" i="7"/>
  <c r="J16" i="7"/>
  <c r="I16" i="7"/>
  <c r="H16" i="7"/>
  <c r="Q16" i="7" s="1"/>
  <c r="F16" i="7"/>
  <c r="W15" i="7"/>
  <c r="V15" i="7"/>
  <c r="U15" i="7"/>
  <c r="T15" i="7"/>
  <c r="S15" i="7"/>
  <c r="X15" i="7" s="1"/>
  <c r="R15" i="7"/>
  <c r="P15" i="7"/>
  <c r="O15" i="7"/>
  <c r="N15" i="7"/>
  <c r="M15" i="7"/>
  <c r="L15" i="7"/>
  <c r="K15" i="7"/>
  <c r="J15" i="7"/>
  <c r="I15" i="7"/>
  <c r="H15" i="7"/>
  <c r="Q15" i="7" s="1"/>
  <c r="F15" i="7"/>
  <c r="W14" i="7"/>
  <c r="V14" i="7"/>
  <c r="U14" i="7"/>
  <c r="T14" i="7"/>
  <c r="S14" i="7"/>
  <c r="R14" i="7"/>
  <c r="X14" i="7" s="1"/>
  <c r="P14" i="7"/>
  <c r="O14" i="7"/>
  <c r="N14" i="7"/>
  <c r="M14" i="7"/>
  <c r="L14" i="7"/>
  <c r="K14" i="7"/>
  <c r="J14" i="7"/>
  <c r="I14" i="7"/>
  <c r="H14" i="7"/>
  <c r="Q14" i="7" s="1"/>
  <c r="F14" i="7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Q13" i="7" s="1"/>
  <c r="F13" i="7"/>
  <c r="X12" i="7"/>
  <c r="W12" i="7"/>
  <c r="V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Q12" i="7" s="1"/>
  <c r="F12" i="7"/>
  <c r="Q26" i="7" l="1"/>
  <c r="X13" i="7"/>
  <c r="C33" i="15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E53" i="18" l="1"/>
  <c r="I53" i="18"/>
  <c r="E63" i="18"/>
  <c r="F63" i="18"/>
  <c r="I63" i="18"/>
  <c r="F53" i="18"/>
  <c r="N53" i="18"/>
  <c r="K53" i="18"/>
  <c r="M53" i="18"/>
  <c r="G63" i="18"/>
  <c r="J63" i="18"/>
  <c r="K63" i="18"/>
  <c r="D32" i="18"/>
  <c r="L31" i="18" s="1"/>
  <c r="M63" i="18"/>
  <c r="G53" i="18"/>
  <c r="D56" i="18" s="1"/>
  <c r="J55" i="18" s="1"/>
  <c r="J53" i="18"/>
  <c r="N63" i="18"/>
  <c r="N21" i="18"/>
  <c r="J21" i="18"/>
  <c r="F21" i="18"/>
  <c r="M21" i="18"/>
  <c r="I21" i="18"/>
  <c r="L21" i="18"/>
  <c r="H21" i="18"/>
  <c r="K21" i="18"/>
  <c r="G21" i="18"/>
  <c r="H53" i="18"/>
  <c r="H63" i="18"/>
  <c r="D66" i="18" s="1"/>
  <c r="D24" i="15"/>
  <c r="C23" i="15"/>
  <c r="I31" i="18" l="1"/>
  <c r="F31" i="18"/>
  <c r="K31" i="18"/>
  <c r="M31" i="18"/>
  <c r="J31" i="18"/>
  <c r="N31" i="18"/>
  <c r="G31" i="18"/>
  <c r="H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E55" i="18" s="1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31" i="18" l="1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X11" i="7" l="1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E31" i="17" l="1"/>
  <c r="G65" i="17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8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<sst xmlns="http://schemas.openxmlformats.org/spreadsheetml/2006/main" count="1377" uniqueCount="679">
  <si>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</si>
  <si>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</si>
  <si>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</si>
  <si>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</si>
  <si>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</si>
  <si>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</si>
  <si>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</si>
  <si>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</si>
  <si>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</si>
  <si>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</si>
  <si>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</si>
  <si>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</si>
  <si>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</si>
  <si>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</si>
  <si>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</si>
  <si>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</si>
  <si>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</si>
  <si>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</si>
  <si>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</si>
  <si>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</si>
  <si>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</si>
  <si>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</si>
  <si>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</si>
  <si>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</si>
  <si>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</si>
  <si>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</si>
  <si>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</si>
  <si>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</si>
  <si>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</si>
  <si>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</si>
  <si>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</si>
  <si>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</si>
  <si>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</si>
  <si>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</si>
  <si>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</si>
  <si>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</si>
  <si>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</si>
  <si>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</si>
  <si>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</si>
  <si>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</si>
  <si>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</si>
  <si>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</si>
  <si>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</si>
  <si>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</si>
  <si>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</si>
  <si>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</si>
  <si>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</si>
  <si>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</si>
  <si>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</si>
  <si>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</si>
  <si>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</si>
  <si>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</si>
  <si>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</si>
  <si>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</si>
  <si>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</si>
  <si>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</si>
  <si>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</si>
  <si>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</si>
  <si>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</si>
  <si>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</si>
  <si>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</si>
  <si>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</si>
  <si>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</si>
  <si>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</si>
  <si>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</si>
  <si>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</si>
  <si>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</si>
  <si>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</si>
  <si>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</si>
  <si>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</si>
  <si>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</si>
  <si>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</si>
  <si>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</si>
  <si>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</si>
  <si>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</si>
  <si>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</si>
  <si>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</si>
  <si>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</si>
  <si>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</si>
  <si>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</si>
  <si>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</si>
  <si>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</si>
  <si>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</si>
  <si>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</si>
  <si>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</si>
  <si>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</si>
  <si>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</si>
  <si>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</si>
  <si>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</si>
  <si>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</si>
  <si>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</si>
  <si>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</si>
  <si>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</si>
  <si>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</si>
  <si>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</si>
  <si>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</si>
  <si>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</si>
  <si>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</si>
  <si>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</si>
  <si>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</si>
  <si>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</si>
  <si>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</si>
  <si>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</si>
  <si>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</si>
  <si>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</si>
  <si>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</si>
  <si>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</si>
  <si>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</si>
  <si>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</si>
  <si>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</si>
  <si>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</si>
  <si>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</si>
  <si>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</si>
  <si>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</si>
  <si>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</si>
  <si>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</si>
  <si>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</si>
  <si>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</si>
  <si>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</si>
  <si>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</si>
  <si>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</si>
  <si>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</si>
  <si>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</si>
  <si>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</si>
  <si>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</si>
  <si>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</si>
  <si>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</si>
  <si>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</si>
  <si>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</si>
  <si>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</si>
  <si>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</si>
  <si>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</si>
  <si>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</si>
  <si>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</si>
  <si>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</si>
  <si>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</si>
  <si>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</si>
  <si>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</si>
  <si>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</si>
  <si>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</si>
  <si>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</si>
  <si>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</si>
  <si>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</si>
  <si>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</si>
  <si>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</si>
  <si>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</si>
  <si>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</si>
  <si>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</si>
  <si>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</si>
  <si>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</si>
  <si>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</si>
  <si>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</si>
  <si>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</si>
  <si>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</si>
  <si>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</si>
  <si>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</si>
  <si>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</si>
  <si>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</si>
  <si>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</si>
  <si>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</si>
  <si>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</si>
  <si>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</si>
  <si>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</si>
  <si>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</si>
  <si>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</si>
  <si>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</si>
  <si>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</si>
  <si>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</si>
  <si>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</si>
  <si>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</si>
  <si>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</si>
  <si>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</si>
  <si>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</si>
  <si>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</si>
  <si>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</si>
  <si>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</si>
  <si>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</si>
  <si>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</si>
  <si>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</si>
  <si>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</si>
  <si>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</si>
  <si>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</si>
  <si>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</si>
  <si>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</si>
  <si>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</si>
  <si>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</si>
  <si>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</si>
  <si>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</si>
  <si>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</si>
  <si>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</si>
  <si>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</si>
  <si>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</si>
  <si>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</si>
  <si>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</si>
  <si>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</si>
  <si>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</si>
  <si>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</si>
  <si>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</si>
  <si>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</si>
  <si>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</si>
  <si>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</si>
  <si>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</si>
  <si>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</si>
  <si>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</si>
  <si>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</si>
  <si>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</si>
  <si>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</si>
  <si>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</si>
  <si>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</si>
  <si>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</si>
  <si>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</si>
  <si>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</si>
  <si>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</si>
  <si>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</si>
  <si>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</si>
  <si>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</si>
  <si>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</si>
  <si>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</si>
  <si>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</si>
  <si>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</si>
  <si>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</si>
  <si>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</si>
  <si>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</si>
  <si>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</si>
  <si>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</si>
  <si>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</si>
  <si>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</si>
  <si>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</si>
  <si>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</si>
  <si>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</si>
  <si>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</si>
  <si>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</si>
  <si>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</si>
  <si>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</si>
  <si>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</si>
  <si>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</si>
  <si>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</si>
  <si>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</si>
  <si>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</si>
  <si>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</si>
  <si>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</si>
  <si>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</si>
  <si>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</si>
  <si>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</si>
  <si>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</si>
  <si>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</si>
  <si>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</si>
  <si>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</si>
  <si>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</si>
  <si>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</si>
  <si>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</si>
  <si>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</si>
  <si>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</si>
  <si>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</si>
  <si>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</si>
  <si>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</si>
  <si>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</si>
  <si>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</si>
  <si>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</si>
  <si>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</si>
  <si>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</si>
  <si>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</si>
  <si>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</si>
  <si>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</si>
  <si>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</si>
  <si>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</si>
  <si>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</si>
  <si>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</si>
  <si>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</si>
  <si>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</si>
  <si>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</si>
  <si>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</si>
  <si>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</si>
  <si>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</si>
  <si>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</si>
  <si>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</si>
  <si>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</si>
  <si>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</si>
  <si>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</si>
  <si>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</si>
  <si>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</si>
  <si>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</si>
  <si>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</si>
  <si>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</si>
  <si>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</si>
  <si>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</si>
  <si>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</si>
  <si>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</si>
  <si>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</si>
  <si>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</si>
  <si>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</si>
  <si>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</si>
  <si>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</si>
  <si>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</si>
  <si>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</si>
  <si>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</si>
  <si>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</si>
  <si>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</si>
  <si>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</si>
  <si>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</si>
  <si>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</si>
  <si>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</si>
  <si>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</si>
  <si>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</si>
  <si>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</si>
  <si>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</si>
  <si>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</si>
  <si>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</si>
  <si>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</si>
  <si>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</si>
  <si>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</si>
  <si>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</si>
  <si>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</si>
  <si>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</si>
  <si>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</si>
  <si>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</si>
  <si>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</si>
  <si>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</si>
  <si>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</si>
  <si>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</si>
  <si>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</si>
  <si>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</si>
  <si>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</si>
  <si>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</si>
  <si>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</si>
  <si>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</si>
  <si>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</si>
  <si>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</si>
  <si>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</si>
  <si>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</si>
  <si>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</si>
  <si>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</si>
  <si>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</si>
  <si>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</si>
  <si>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</si>
  <si>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</si>
  <si>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</si>
  <si>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</si>
  <si>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</si>
  <si>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</si>
  <si>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</si>
  <si>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</si>
  <si>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</si>
  <si>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</si>
  <si>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</si>
  <si>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</si>
  <si>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</si>
  <si>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</si>
  <si>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</si>
  <si>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</si>
  <si>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</si>
  <si>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</si>
  <si>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</si>
  <si>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</si>
  <si>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</si>
  <si>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</si>
  <si>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</si>
  <si>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</si>
  <si>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</si>
  <si>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</si>
  <si>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</si>
  <si>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</si>
  <si>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</si>
  <si>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</si>
  <si>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</si>
  <si>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</si>
  <si>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</si>
  <si>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</si>
  <si>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</si>
  <si>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</si>
  <si>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</si>
  <si>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</si>
  <si>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</si>
  <si>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</si>
  <si>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</si>
  <si>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</si>
  <si>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</si>
  <si>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</si>
  <si>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</si>
  <si>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</si>
  <si>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</si>
  <si>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</si>
  <si>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</si>
  <si>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</si>
  <si>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</si>
  <si>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</si>
  <si>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</si>
  <si>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</si>
  <si>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</si>
  <si>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</si>
  <si>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</si>
  <si>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</si>
  <si>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</si>
  <si>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</si>
  <si>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</si>
  <si>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</si>
  <si>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</si>
  <si>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</si>
  <si>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</si>
  <si>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</si>
  <si>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</si>
  <si>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</si>
  <si>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</si>
  <si>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</si>
  <si>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</si>
  <si>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</si>
  <si>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</si>
  <si>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</si>
  <si>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</si>
  <si>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</si>
  <si>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</si>
  <si>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</si>
  <si>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</si>
  <si>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</si>
  <si>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</si>
  <si>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</si>
  <si>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</si>
  <si>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</si>
  <si>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</si>
  <si>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</si>
  <si>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</si>
  <si>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</si>
  <si>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</si>
  <si>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</si>
  <si>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</si>
  <si>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</si>
  <si>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</si>
  <si>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</si>
  <si>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</si>
  <si>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</si>
  <si>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</si>
  <si>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</si>
  <si>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</si>
  <si>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</si>
  <si>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</si>
  <si>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</si>
  <si>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</si>
  <si>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</si>
  <si>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</si>
  <si>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</si>
  <si>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</si>
  <si>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</si>
  <si>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</si>
  <si>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</si>
  <si>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</si>
  <si>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</si>
  <si>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</si>
  <si>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</si>
  <si>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</si>
  <si>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</si>
  <si>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</si>
  <si>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</si>
  <si>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</si>
  <si>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</si>
  <si>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</si>
  <si>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</si>
  <si>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</si>
  <si>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</si>
  <si>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</si>
  <si>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</si>
  <si>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</si>
  <si>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</si>
  <si>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</si>
  <si>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</si>
  <si>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</si>
  <si>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</si>
  <si>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</si>
  <si>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</si>
  <si>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</si>
  <si>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</si>
  <si>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</si>
  <si>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</si>
  <si>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</si>
  <si>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</si>
  <si>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</si>
  <si>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</si>
  <si>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</si>
  <si>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</si>
  <si>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</si>
  <si>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</si>
  <si>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</si>
  <si>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</si>
  <si>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</si>
  <si>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</si>
  <si>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</si>
  <si>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</si>
  <si>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</si>
  <si>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</si>
  <si>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</si>
  <si>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</si>
  <si>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</si>
  <si>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</si>
  <si>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</si>
  <si>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</si>
  <si>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</si>
  <si>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</si>
  <si>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</si>
  <si>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</si>
  <si>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</si>
  <si>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</si>
  <si>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</si>
  <si>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</si>
  <si>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</si>
  <si>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</si>
  <si>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</si>
  <si>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</si>
  <si>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</si>
  <si>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</si>
  <si>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</si>
  <si>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</si>
  <si>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</si>
  <si>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</si>
  <si>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</si>
  <si>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</si>
  <si>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</si>
  <si>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</si>
  <si>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</si>
  <si>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</si>
  <si>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</si>
  <si>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</si>
  <si>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</si>
  <si>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</si>
  <si>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</si>
  <si>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</si>
  <si>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</si>
  <si>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</si>
  <si>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</si>
  <si>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</si>
  <si>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</si>
  <si>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</si>
  <si>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</si>
  <si>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</si>
  <si>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</si>
  <si>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</si>
  <si>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</si>
  <si>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</si>
  <si>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</si>
  <si>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</si>
  <si>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</si>
  <si>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</si>
  <si>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</si>
  <si>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</si>
  <si>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</si>
  <si>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</si>
  <si>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</si>
  <si>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</si>
  <si>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</si>
  <si>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</si>
  <si>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</si>
  <si>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</si>
  <si>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</si>
  <si>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</si>
  <si>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</si>
  <si>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</si>
  <si>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</si>
  <si>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</si>
  <si>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</si>
  <si>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</si>
  <si>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</si>
  <si>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</si>
  <si>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</si>
  <si>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</si>
  <si>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</si>
  <si>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</si>
  <si>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</si>
  <si>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</si>
  <si>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</si>
  <si>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</si>
  <si>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</si>
  <si>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</si>
  <si>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</si>
  <si>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</si>
  <si>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</si>
  <si>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</si>
  <si>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</si>
  <si>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</si>
  <si>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</si>
  <si>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</si>
  <si>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</si>
  <si>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</si>
  <si>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</si>
  <si>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</si>
  <si>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</si>
  <si>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</si>
  <si>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</si>
  <si>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</si>
  <si>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</si>
  <si>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</si>
  <si>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</si>
  <si>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</si>
  <si>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</si>
  <si>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</si>
  <si>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</si>
  <si>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</si>
  <si>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</si>
  <si>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</si>
  <si>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</si>
  <si>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</si>
  <si>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</si>
  <si>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</si>
  <si>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</si>
  <si>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</si>
  <si>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</si>
  <si>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</si>
  <si>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</si>
  <si>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</si>
  <si>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</si>
  <si>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</si>
  <si>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</si>
  <si>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</si>
  <si>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</si>
  <si>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</si>
  <si>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</si>
  <si>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</si>
  <si>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</si>
  <si>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</si>
  <si>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</si>
  <si>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</si>
  <si>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</si>
  <si>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</si>
  <si>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</si>
  <si>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</si>
  <si>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</si>
  <si>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</si>
  <si>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</si>
  <si>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</si>
  <si>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</si>
  <si>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</si>
  <si>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</si>
  <si>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</si>
  <si>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</si>
  <si>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</si>
  <si>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</si>
  <si>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</si>
  <si>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</si>
  <si>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</si>
  <si>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</si>
  <si>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</si>
  <si>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</si>
  <si>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</si>
  <si>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</si>
  <si>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</si>
  <si>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</si>
  <si>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</si>
  <si>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</si>
  <si>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</si>
  <si>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</si>
  <si>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</si>
  <si>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</si>
  <si>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</si>
  <si>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</si>
  <si>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</si>
  <si>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</si>
  <si>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</si>
  <si>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</si>
  <si>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</si>
  <si>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</si>
  <si>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</si>
  <si>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DE_GMK04</t>
  </si>
  <si>
    <t>DE_GHA04</t>
  </si>
  <si>
    <t>DE_GKO04</t>
  </si>
  <si>
    <t>DE_GBD04</t>
  </si>
  <si>
    <t>DE_GGA04</t>
  </si>
  <si>
    <t>DE_GBH04</t>
  </si>
  <si>
    <t>DE_GWA04</t>
  </si>
  <si>
    <t>DE_GHD04</t>
  </si>
  <si>
    <t>DE_GGB04</t>
  </si>
  <si>
    <t>DE_GPD04</t>
  </si>
  <si>
    <t>Stadtwerke Neustrelitz GmbH</t>
  </si>
  <si>
    <t>Wlhelm-Stolte-Str. 90</t>
  </si>
  <si>
    <t>Neustrelitz</t>
  </si>
  <si>
    <t>bilanz.gas@stadtwerke-neustrelitz.de</t>
  </si>
  <si>
    <t>03981 / 474 170</t>
  </si>
  <si>
    <t>SWNEUSTRELITZ</t>
  </si>
  <si>
    <t>GASPOOLNH7010991</t>
  </si>
  <si>
    <t>Herr Andy Werner</t>
  </si>
  <si>
    <t>DE_GMF04</t>
  </si>
  <si>
    <t>DE_GBA04</t>
  </si>
  <si>
    <t>Neustrellitz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</si>
</sst>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0" fillId="33" borderId="17" xfId="0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1" fontId="12" fillId="0" borderId="0" xfId="3" applyNumberFormat="1" applyFont="1" applyFill="1" applyBorder="1" applyAlignment="1" applyProtection="1">
      <alignment horizontal="left"/>
      <protection hidden="1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1593489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387191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4</xdr:col>
      <xdr:colOff>285591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1" sqref="C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340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347</v>
      </c>
      <c r="C17" s="15"/>
    </row>
    <row r="18" spans="2:12" s="8" customFormat="1">
      <c r="B18" s="18" t="s">
        <v>341</v>
      </c>
      <c r="C18" s="15"/>
    </row>
    <row r="19" spans="2:12" s="8" customFormat="1">
      <c r="B19" s="18" t="s">
        <v>342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343</v>
      </c>
      <c r="C22" s="15"/>
    </row>
    <row r="23" spans="2:12" s="8" customFormat="1">
      <c r="B23" s="18" t="s">
        <v>344</v>
      </c>
      <c r="C23" s="15"/>
    </row>
    <row r="24" spans="2:12">
      <c r="B24" s="17"/>
      <c r="C24" s="15"/>
    </row>
    <row r="25" spans="2:12">
      <c r="B25" s="17" t="s">
        <v>348</v>
      </c>
      <c r="C25" s="15"/>
    </row>
    <row r="26" spans="2:12">
      <c r="B26" s="18" t="s">
        <v>345</v>
      </c>
      <c r="C26" s="15"/>
      <c r="F26" s="8"/>
      <c r="G26" s="8"/>
      <c r="H26" s="8"/>
    </row>
    <row r="27" spans="2:12">
      <c r="B27" s="18" t="s">
        <v>346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349</v>
      </c>
      <c r="C29" s="19">
        <v>42278</v>
      </c>
      <c r="E29" s="8"/>
      <c r="F29" s="8"/>
      <c r="G29" s="8"/>
      <c r="H29" s="8"/>
    </row>
    <row r="30" spans="2:12">
      <c r="B30" s="21" t="s">
        <v>350</v>
      </c>
      <c r="C30" s="339" t="s">
        <v>657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507</v>
      </c>
      <c r="D4" s="27">
        <v>42278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668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340">
        <v>9870109900000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669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>
        <v>17235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670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675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671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672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398</v>
      </c>
      <c r="E27" s="39"/>
      <c r="F27" s="11"/>
    </row>
    <row r="28" spans="1:15">
      <c r="B28" s="15"/>
      <c r="C28" s="66" t="s">
        <v>506</v>
      </c>
      <c r="D28" s="48" t="str">
        <f>IF(D27&lt;&gt;C28,VLOOKUP(D27,$C$29:$D$48,2,FALSE),C28)</f>
        <v>SWNEUSTRELITZ</v>
      </c>
      <c r="E28" s="38"/>
      <c r="F28" s="11"/>
      <c r="G28" s="2"/>
    </row>
    <row r="29" spans="1:15">
      <c r="B29" s="15"/>
      <c r="C29" s="22" t="s">
        <v>398</v>
      </c>
      <c r="D29" s="45" t="s">
        <v>673</v>
      </c>
      <c r="E29" s="40"/>
      <c r="F29" s="11"/>
      <c r="G29" s="2"/>
    </row>
    <row r="30" spans="1:15">
      <c r="B30" s="15"/>
      <c r="C30" s="22" t="s">
        <v>399</v>
      </c>
      <c r="D30" s="45"/>
      <c r="E30" s="40"/>
      <c r="F30" s="47"/>
      <c r="G30" s="2"/>
    </row>
    <row r="31" spans="1:15">
      <c r="B31" s="15"/>
      <c r="C31" s="22" t="s">
        <v>424</v>
      </c>
      <c r="D31" s="46"/>
      <c r="E31" s="40"/>
      <c r="F31" s="47"/>
      <c r="G31" s="2"/>
    </row>
    <row r="32" spans="1:15">
      <c r="B32" s="15"/>
      <c r="C32" s="22" t="s">
        <v>425</v>
      </c>
      <c r="D32" s="46"/>
      <c r="E32" s="40"/>
      <c r="F32" s="47"/>
      <c r="G32" s="2"/>
    </row>
    <row r="33" spans="2:7">
      <c r="B33" s="15"/>
      <c r="C33" s="22" t="s">
        <v>426</v>
      </c>
      <c r="D33" s="45"/>
      <c r="E33" s="40"/>
      <c r="F33" s="47"/>
      <c r="G33" s="2"/>
    </row>
    <row r="34" spans="2:7">
      <c r="B34" s="15"/>
      <c r="C34" s="22" t="s">
        <v>427</v>
      </c>
      <c r="D34" s="46"/>
      <c r="E34" s="40"/>
      <c r="F34" s="47"/>
      <c r="G34" s="2"/>
    </row>
    <row r="35" spans="2:7">
      <c r="B35" s="15"/>
      <c r="C35" s="22" t="s">
        <v>428</v>
      </c>
      <c r="D35" s="46"/>
      <c r="E35" s="40"/>
      <c r="F35" s="47"/>
      <c r="G35" s="2"/>
    </row>
    <row r="36" spans="2:7">
      <c r="B36" s="15"/>
      <c r="C36" s="22" t="s">
        <v>429</v>
      </c>
      <c r="D36" s="46"/>
      <c r="E36" s="40"/>
      <c r="F36" s="47"/>
      <c r="G36" s="2"/>
    </row>
    <row r="37" spans="2:7">
      <c r="B37" s="15"/>
      <c r="C37" s="22" t="s">
        <v>430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0" zoomScale="80" zoomScaleNormal="80" workbookViewId="0">
      <selection activeCell="D37" sqref="D3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Neustrelitz GmbH</v>
      </c>
      <c r="H5" s="68"/>
      <c r="I5" s="68"/>
      <c r="J5" s="68"/>
      <c r="K5" s="68"/>
    </row>
    <row r="6" spans="2:15" ht="15" customHeight="1">
      <c r="B6" s="22"/>
      <c r="C6" s="62" t="s">
        <v>448</v>
      </c>
      <c r="D6" s="58" t="str">
        <f>Netzbetreiber!D28</f>
        <v>SWNEUSTRELITZ</v>
      </c>
      <c r="E6" s="15"/>
      <c r="H6" s="68"/>
      <c r="I6" s="68"/>
      <c r="J6" s="68"/>
      <c r="K6" s="68"/>
    </row>
    <row r="7" spans="2:15" ht="15" customHeight="1">
      <c r="B7" s="22"/>
      <c r="C7" s="60" t="s">
        <v>492</v>
      </c>
      <c r="D7" s="341">
        <f>Netzbetreiber!$D$11</f>
        <v>9870109900000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260</v>
      </c>
      <c r="E11" s="15"/>
      <c r="H11" s="277" t="s">
        <v>257</v>
      </c>
      <c r="I11" s="277" t="s">
        <v>260</v>
      </c>
      <c r="J11" s="277" t="s">
        <v>261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622</v>
      </c>
      <c r="D13" s="33" t="s">
        <v>623</v>
      </c>
      <c r="E13" s="15"/>
      <c r="H13" s="277" t="s">
        <v>623</v>
      </c>
      <c r="I13" s="277" t="s">
        <v>624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83</v>
      </c>
      <c r="C15" s="5" t="s">
        <v>434</v>
      </c>
      <c r="D15" s="42" t="s">
        <v>338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433</v>
      </c>
      <c r="D16" s="42" t="s">
        <v>674</v>
      </c>
      <c r="E16" s="15"/>
      <c r="H16" s="273"/>
      <c r="I16" s="273"/>
      <c r="J16" s="273"/>
      <c r="K16" s="273"/>
      <c r="L16" s="274"/>
    </row>
    <row r="17" spans="2:16" ht="15" customHeight="1">
      <c r="B17" s="22"/>
      <c r="C17" s="5"/>
      <c r="D17" s="29"/>
      <c r="E17" s="15"/>
      <c r="H17" s="273"/>
      <c r="I17" s="273"/>
      <c r="J17" s="273"/>
      <c r="K17" s="273"/>
      <c r="L17" s="274"/>
    </row>
    <row r="18" spans="2:16" ht="15" customHeight="1">
      <c r="B18" s="7" t="s">
        <v>84</v>
      </c>
      <c r="C18" s="31" t="s">
        <v>371</v>
      </c>
      <c r="D18" s="49" t="s">
        <v>258</v>
      </c>
      <c r="E18" s="15"/>
      <c r="H18" s="275" t="s">
        <v>258</v>
      </c>
      <c r="I18" s="275" t="s">
        <v>135</v>
      </c>
      <c r="J18" s="273"/>
      <c r="K18" s="273"/>
      <c r="L18" s="274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6" t="s">
        <v>582</v>
      </c>
      <c r="I19" s="276" t="s">
        <v>493</v>
      </c>
      <c r="J19" s="273"/>
      <c r="K19" s="273"/>
      <c r="L19" s="274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6" t="s">
        <v>494</v>
      </c>
      <c r="I20" s="276" t="s">
        <v>495</v>
      </c>
      <c r="J20" s="273"/>
      <c r="K20" s="273"/>
      <c r="L20" s="274"/>
    </row>
    <row r="21" spans="2:16" ht="15" customHeight="1">
      <c r="B21" s="22"/>
      <c r="C21" s="32"/>
      <c r="D21" s="16"/>
      <c r="E21" s="15"/>
      <c r="H21" s="276"/>
      <c r="I21" s="276"/>
      <c r="J21" s="273"/>
      <c r="K21" s="273"/>
      <c r="L21" s="274"/>
    </row>
    <row r="22" spans="2:16" ht="15" customHeight="1">
      <c r="B22" s="7" t="s">
        <v>85</v>
      </c>
      <c r="C22" s="8" t="s">
        <v>620</v>
      </c>
      <c r="D22" s="49" t="s">
        <v>616</v>
      </c>
      <c r="E22" s="15"/>
      <c r="H22" s="273" t="s">
        <v>616</v>
      </c>
      <c r="I22" s="273" t="s">
        <v>617</v>
      </c>
      <c r="J22" s="273"/>
      <c r="K22" s="8"/>
      <c r="L22" s="274"/>
    </row>
    <row r="23" spans="2:16" ht="15" customHeight="1">
      <c r="B23" s="7"/>
      <c r="C23" s="8" t="str">
        <f>HLOOKUP(D22,H22:I23,2,0)</f>
        <v>nach TU-München Verfahren</v>
      </c>
      <c r="D23" s="49" t="s">
        <v>618</v>
      </c>
      <c r="E23" s="15"/>
      <c r="H23" s="273" t="s">
        <v>619</v>
      </c>
      <c r="I23" s="8" t="s">
        <v>615</v>
      </c>
      <c r="J23" s="8"/>
      <c r="K23" s="8"/>
      <c r="L23" s="274"/>
    </row>
    <row r="24" spans="2:16" ht="15" customHeight="1">
      <c r="B24" s="22"/>
      <c r="C24" s="24" t="s">
        <v>621</v>
      </c>
      <c r="D24" s="24" t="str">
        <f>IF(D22=$H$22,L24,IF(D23=$H$24,M24,N24))</f>
        <v>=&gt;  Q(D) = KW  x  h(T, SLP-Typ)  x  F(WT)</v>
      </c>
      <c r="E24" s="15"/>
      <c r="H24" s="273" t="s">
        <v>618</v>
      </c>
      <c r="I24" s="273" t="s">
        <v>625</v>
      </c>
      <c r="J24" s="8"/>
      <c r="K24" s="8"/>
      <c r="L24" s="276" t="s">
        <v>626</v>
      </c>
      <c r="M24" s="276" t="s">
        <v>628</v>
      </c>
      <c r="N24" s="276" t="s">
        <v>627</v>
      </c>
      <c r="O24" s="8"/>
      <c r="P24" s="274"/>
    </row>
    <row r="25" spans="2:16" ht="15" customHeight="1">
      <c r="B25" s="22"/>
      <c r="C25" s="24"/>
      <c r="D25" s="15"/>
      <c r="E25" s="15"/>
      <c r="H25" s="273"/>
      <c r="I25" s="273"/>
      <c r="J25" s="273"/>
      <c r="K25" s="273"/>
      <c r="L25" s="274"/>
    </row>
    <row r="26" spans="2:16" ht="15" customHeight="1">
      <c r="B26" s="7" t="s">
        <v>373</v>
      </c>
      <c r="C26" s="6" t="s">
        <v>585</v>
      </c>
      <c r="D26" s="42" t="s">
        <v>136</v>
      </c>
      <c r="E26" s="15"/>
      <c r="H26" s="275" t="s">
        <v>134</v>
      </c>
      <c r="I26" s="275" t="s">
        <v>136</v>
      </c>
      <c r="J26" s="273"/>
      <c r="K26" s="273"/>
      <c r="L26" s="274"/>
    </row>
    <row r="27" spans="2:16" ht="15" customHeight="1">
      <c r="B27" s="7"/>
      <c r="C27" s="6" t="s">
        <v>629</v>
      </c>
      <c r="D27" s="42" t="s">
        <v>630</v>
      </c>
      <c r="E27" s="15"/>
      <c r="H27" s="309" t="s">
        <v>630</v>
      </c>
      <c r="I27" s="275" t="s">
        <v>631</v>
      </c>
      <c r="J27" s="275" t="s">
        <v>632</v>
      </c>
      <c r="K27" s="273"/>
      <c r="L27" s="274"/>
    </row>
    <row r="28" spans="2:16" ht="15" customHeight="1">
      <c r="B28" s="22"/>
      <c r="C28" s="15" t="str">
        <f>HLOOKUP(D27,H27:J28,2,0)</f>
        <v>=&gt; Q(Allokation)  =  Q(Synth.);    F(kor) = 1</v>
      </c>
      <c r="D28" s="310">
        <v>1</v>
      </c>
      <c r="E28" s="15"/>
      <c r="H28" s="276" t="s">
        <v>633</v>
      </c>
      <c r="I28" s="276" t="s">
        <v>634</v>
      </c>
      <c r="J28" s="276" t="s">
        <v>635</v>
      </c>
      <c r="K28" s="273"/>
      <c r="L28" s="274"/>
    </row>
    <row r="29" spans="2:16" ht="15" customHeight="1">
      <c r="B29" s="22"/>
      <c r="C29" s="15" t="str">
        <f>HLOOKUP(D27,H27:J29,3,0)</f>
        <v xml:space="preserve"> </v>
      </c>
      <c r="D29" s="311"/>
      <c r="E29" s="15"/>
      <c r="H29" s="276" t="s">
        <v>636</v>
      </c>
      <c r="I29" s="276" t="s">
        <v>637</v>
      </c>
      <c r="J29" s="276" t="s">
        <v>638</v>
      </c>
      <c r="K29" s="273"/>
      <c r="L29" s="274"/>
    </row>
    <row r="30" spans="2:16" ht="15" customHeight="1">
      <c r="B30" s="22"/>
      <c r="C30" s="24"/>
      <c r="D30" s="15"/>
      <c r="E30" s="15"/>
      <c r="H30" s="273"/>
      <c r="I30" s="273"/>
      <c r="J30" s="273"/>
      <c r="K30" s="273"/>
      <c r="L30" s="274"/>
    </row>
    <row r="31" spans="2:16" ht="15" customHeight="1">
      <c r="B31" s="7" t="s">
        <v>498</v>
      </c>
      <c r="C31" s="6" t="s">
        <v>584</v>
      </c>
      <c r="D31" s="42" t="s">
        <v>136</v>
      </c>
      <c r="E31" s="15"/>
      <c r="H31" s="275" t="s">
        <v>134</v>
      </c>
      <c r="I31" s="275" t="s">
        <v>136</v>
      </c>
      <c r="J31" s="273"/>
      <c r="K31" s="273"/>
      <c r="L31" s="274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6" t="s">
        <v>639</v>
      </c>
      <c r="I32" s="276" t="s">
        <v>640</v>
      </c>
      <c r="J32" s="273"/>
      <c r="K32" s="273"/>
      <c r="L32" s="274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6" t="s">
        <v>641</v>
      </c>
      <c r="I33" s="273" t="s">
        <v>636</v>
      </c>
      <c r="J33" s="273"/>
      <c r="K33" s="273"/>
      <c r="L33" s="274"/>
    </row>
    <row r="34" spans="2:39" ht="15" customHeight="1">
      <c r="B34" s="22"/>
      <c r="C34" s="24"/>
      <c r="D34" s="15"/>
      <c r="E34" s="15"/>
      <c r="H34" s="273"/>
      <c r="I34" s="273"/>
      <c r="J34" s="273"/>
      <c r="K34" s="273"/>
      <c r="L34" s="274"/>
    </row>
    <row r="35" spans="2:39" ht="15" customHeight="1">
      <c r="B35" s="23" t="s">
        <v>556</v>
      </c>
      <c r="C35" s="24" t="s">
        <v>500</v>
      </c>
      <c r="D35" s="269">
        <v>15</v>
      </c>
      <c r="E35" s="15"/>
      <c r="H35" s="273"/>
      <c r="I35" s="273"/>
      <c r="J35" s="273"/>
      <c r="K35" s="273"/>
      <c r="L35" s="274"/>
    </row>
    <row r="36" spans="2:39" ht="15" customHeight="1">
      <c r="B36" s="22"/>
      <c r="C36" s="24"/>
      <c r="D36" s="15"/>
      <c r="E36" s="15"/>
      <c r="H36" s="273"/>
      <c r="I36" s="273"/>
      <c r="J36" s="273"/>
      <c r="K36" s="273"/>
      <c r="L36" s="274"/>
    </row>
    <row r="37" spans="2:39" ht="15" customHeight="1">
      <c r="B37" s="7" t="s">
        <v>557</v>
      </c>
      <c r="C37" s="5" t="s">
        <v>368</v>
      </c>
      <c r="D37" s="34">
        <v>1500000</v>
      </c>
      <c r="E37" s="15" t="s">
        <v>513</v>
      </c>
      <c r="I37" s="273"/>
      <c r="J37" s="273"/>
      <c r="K37" s="273"/>
      <c r="L37" s="273"/>
      <c r="M37" s="274"/>
    </row>
    <row r="38" spans="2:39" customFormat="1" ht="15" customHeight="1">
      <c r="C38" s="8" t="s">
        <v>496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558</v>
      </c>
      <c r="C40" s="5" t="s">
        <v>369</v>
      </c>
      <c r="D40" s="36">
        <v>500</v>
      </c>
      <c r="E40" s="15" t="s">
        <v>548</v>
      </c>
      <c r="H40" s="68"/>
      <c r="I40" s="68"/>
      <c r="J40" s="68"/>
      <c r="K40" s="68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547</v>
      </c>
    </row>
    <row r="44" spans="2:39" ht="18" customHeight="1">
      <c r="C44" s="3" t="s">
        <v>549</v>
      </c>
    </row>
    <row r="45" spans="2:39" ht="18" customHeight="1">
      <c r="C45" s="3"/>
    </row>
    <row r="46" spans="2:39" ht="15" customHeight="1">
      <c r="B46" s="22" t="s">
        <v>559</v>
      </c>
      <c r="C46" s="60" t="s">
        <v>583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593</v>
      </c>
      <c r="D48" s="45" t="s">
        <v>670</v>
      </c>
    </row>
    <row r="49" spans="3:4" ht="18" customHeight="1">
      <c r="C49" s="22" t="s">
        <v>594</v>
      </c>
      <c r="D49" s="45"/>
    </row>
    <row r="50" spans="3:4" ht="18" customHeight="1">
      <c r="C50" s="22" t="s">
        <v>595</v>
      </c>
      <c r="D50" s="45"/>
    </row>
    <row r="51" spans="3:4" ht="18" customHeight="1">
      <c r="C51" s="22" t="s">
        <v>596</v>
      </c>
      <c r="D51" s="45"/>
    </row>
    <row r="52" spans="3:4" ht="18" customHeight="1">
      <c r="C52" s="22" t="s">
        <v>597</v>
      </c>
      <c r="D52" s="45"/>
    </row>
    <row r="53" spans="3:4" ht="18" customHeight="1">
      <c r="C53" s="22" t="s">
        <v>598</v>
      </c>
      <c r="D53" s="45"/>
    </row>
    <row r="54" spans="3:4" ht="18" customHeight="1">
      <c r="C54" s="22" t="s">
        <v>599</v>
      </c>
      <c r="D54" s="45"/>
    </row>
    <row r="55" spans="3:4" ht="18" customHeight="1">
      <c r="C55" s="22" t="s">
        <v>600</v>
      </c>
      <c r="D55" s="45"/>
    </row>
    <row r="56" spans="3:4" ht="18" customHeight="1">
      <c r="C56" s="22" t="s">
        <v>601</v>
      </c>
      <c r="D56" s="45"/>
    </row>
    <row r="57" spans="3:4" ht="18" customHeight="1">
      <c r="C57" s="22" t="s">
        <v>602</v>
      </c>
      <c r="D57" s="45"/>
    </row>
    <row r="58" spans="3:4" ht="18" customHeight="1">
      <c r="C58" s="22" t="s">
        <v>603</v>
      </c>
      <c r="D58" s="45"/>
    </row>
    <row r="59" spans="3:4" ht="18" customHeight="1">
      <c r="C59" s="22" t="s">
        <v>604</v>
      </c>
      <c r="D59" s="45"/>
    </row>
    <row r="60" spans="3:4" ht="18" customHeight="1">
      <c r="C60" s="22" t="s">
        <v>605</v>
      </c>
      <c r="D60" s="45"/>
    </row>
    <row r="61" spans="3:4" ht="18" customHeight="1">
      <c r="C61" s="22" t="s">
        <v>606</v>
      </c>
      <c r="D61" s="45"/>
    </row>
    <row r="62" spans="3:4" ht="18" customHeight="1">
      <c r="C62" s="22" t="s">
        <v>607</v>
      </c>
      <c r="D62" s="45"/>
    </row>
  </sheetData>
  <conditionalFormatting sqref="D15">
    <cfRule type="expression" dxfId="55" priority="20">
      <formula>IF($D$11="Gaspool",1,0)</formula>
    </cfRule>
  </conditionalFormatting>
  <conditionalFormatting sqref="D16">
    <cfRule type="expression" dxfId="54" priority="17">
      <formula>IF($D$11="NCG",1,0)</formula>
    </cfRule>
  </conditionalFormatting>
  <conditionalFormatting sqref="D48:D62">
    <cfRule type="expression" dxfId="53" priority="16">
      <formula>IF(CELL("Zeile",D48)&lt;$D$46+CELL("Zeile",$D$48),1,0)</formula>
    </cfRule>
  </conditionalFormatting>
  <conditionalFormatting sqref="D49:D62">
    <cfRule type="expression" dxfId="52" priority="15">
      <formula>IF(CELL(D49)&lt;$D$36+27,1,0)</formula>
    </cfRule>
  </conditionalFormatting>
  <conditionalFormatting sqref="D23">
    <cfRule type="expression" dxfId="51" priority="14">
      <formula>IF($D$22=$H$22,1,0)</formula>
    </cfRule>
  </conditionalFormatting>
  <conditionalFormatting sqref="D31">
    <cfRule type="expression" dxfId="50" priority="3">
      <formula>IF($D$18="synthetisch",1,0)</formula>
    </cfRule>
  </conditionalFormatting>
  <conditionalFormatting sqref="D28">
    <cfRule type="expression" dxfId="49" priority="1">
      <formula>IF(AND($D$27=$I$27,$D$26=$H$26),1,0)</formula>
    </cfRule>
  </conditionalFormatting>
  <conditionalFormatting sqref="D26:D28">
    <cfRule type="expression" dxfId="48" priority="4">
      <formula>IF($D$18="analytisch",1,0)</formula>
    </cfRule>
  </conditionalFormatting>
  <conditionalFormatting sqref="D27">
    <cfRule type="expression" dxfId="47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zoomScale="70" zoomScaleNormal="70" workbookViewId="0">
      <selection activeCell="O20" sqref="O20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18.140625" style="129" customWidth="1"/>
    <col min="6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551</v>
      </c>
    </row>
    <row r="3" spans="1:56" ht="15" customHeight="1">
      <c r="B3" s="172"/>
    </row>
    <row r="4" spans="1:56">
      <c r="B4" s="131"/>
      <c r="C4" s="56" t="s">
        <v>449</v>
      </c>
      <c r="D4" s="57"/>
      <c r="E4" s="58" t="s">
        <v>668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SWNEUSTRELITZ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341">
        <v>9870109900000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3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300">
        <v>1</v>
      </c>
      <c r="G10" s="57"/>
      <c r="H10" s="173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7" t="str">
        <f>INDEX('SLP-Verfahren'!D48:D62,'SLP-Temp-Gebiet #01'!F10)</f>
        <v>Neustrelitz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3" t="s">
        <v>591</v>
      </c>
      <c r="D13" s="343"/>
      <c r="E13" s="343"/>
      <c r="F13" s="184" t="s">
        <v>555</v>
      </c>
      <c r="G13" s="131" t="s">
        <v>553</v>
      </c>
      <c r="H13" s="266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4" t="s">
        <v>452</v>
      </c>
      <c r="D14" s="344"/>
      <c r="E14" s="90" t="s">
        <v>453</v>
      </c>
      <c r="F14" s="267" t="s">
        <v>85</v>
      </c>
      <c r="G14" s="268" t="s">
        <v>579</v>
      </c>
      <c r="H14" s="51">
        <v>0</v>
      </c>
      <c r="I14" s="57"/>
      <c r="J14" s="131"/>
      <c r="K14" s="131"/>
      <c r="L14" s="131"/>
      <c r="M14" s="131"/>
      <c r="N14" s="131"/>
      <c r="O14" s="174" t="s">
        <v>534</v>
      </c>
      <c r="R14" s="210" t="s">
        <v>571</v>
      </c>
      <c r="S14" s="210" t="s">
        <v>572</v>
      </c>
      <c r="T14" s="210" t="s">
        <v>573</v>
      </c>
      <c r="U14" s="210" t="s">
        <v>574</v>
      </c>
      <c r="V14" s="210" t="s">
        <v>554</v>
      </c>
      <c r="W14" s="210" t="s">
        <v>575</v>
      </c>
      <c r="X14" s="210" t="s">
        <v>576</v>
      </c>
      <c r="Y14" s="210" t="s">
        <v>577</v>
      </c>
      <c r="Z14" s="210" t="s">
        <v>578</v>
      </c>
      <c r="AA14" s="210" t="s">
        <v>579</v>
      </c>
      <c r="AB14" s="210" t="s">
        <v>580</v>
      </c>
      <c r="AC14" s="210" t="s">
        <v>581</v>
      </c>
    </row>
    <row r="15" spans="1:56" ht="19.5" customHeight="1">
      <c r="B15" s="131"/>
      <c r="C15" s="344" t="s">
        <v>390</v>
      </c>
      <c r="D15" s="344"/>
      <c r="E15" s="90" t="s">
        <v>453</v>
      </c>
      <c r="F15" s="267" t="s">
        <v>71</v>
      </c>
      <c r="G15" s="268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139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373</v>
      </c>
      <c r="AH15" s="265" t="s">
        <v>498</v>
      </c>
      <c r="AI15" s="265" t="s">
        <v>556</v>
      </c>
      <c r="AJ15" s="265" t="s">
        <v>557</v>
      </c>
      <c r="AK15" s="265" t="s">
        <v>558</v>
      </c>
      <c r="AL15" s="265" t="s">
        <v>559</v>
      </c>
      <c r="AM15" s="265" t="s">
        <v>560</v>
      </c>
      <c r="AN15" s="265" t="s">
        <v>561</v>
      </c>
      <c r="AO15" s="265" t="s">
        <v>562</v>
      </c>
      <c r="AP15" s="265" t="s">
        <v>563</v>
      </c>
      <c r="AQ15" s="265" t="s">
        <v>564</v>
      </c>
      <c r="AR15" s="265" t="s">
        <v>565</v>
      </c>
      <c r="AS15" s="265" t="s">
        <v>566</v>
      </c>
      <c r="AT15" s="265" t="s">
        <v>567</v>
      </c>
      <c r="AU15" s="265" t="s">
        <v>568</v>
      </c>
      <c r="AV15" s="265" t="s">
        <v>569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524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530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525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532</v>
      </c>
      <c r="D21" s="154" t="s">
        <v>522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544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8" t="str">
        <f>O15</f>
        <v>DWD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527</v>
      </c>
      <c r="D24" s="189"/>
      <c r="E24" s="157" t="s">
        <v>678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6" t="s">
        <v>528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521</v>
      </c>
      <c r="D25" s="189"/>
      <c r="E25" s="161">
        <v>10278</v>
      </c>
      <c r="F25" s="161" t="s">
        <v>366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>IF(F30&gt;$F$28,0,1)</f>
        <v>1</v>
      </c>
      <c r="G29" s="179">
        <f t="shared" ref="G29:N29" si="2">IF(G30&gt;$F$28,0,1)</f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533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540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364</v>
      </c>
      <c r="D33" s="154" t="s">
        <v>363</v>
      </c>
      <c r="E33" s="157" t="s">
        <v>3</v>
      </c>
      <c r="F33" s="157" t="s">
        <v>362</v>
      </c>
      <c r="G33" s="157" t="s">
        <v>353</v>
      </c>
      <c r="H33" s="157" t="s">
        <v>354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362</v>
      </c>
      <c r="T33" s="68" t="s">
        <v>353</v>
      </c>
      <c r="U33" s="68" t="s">
        <v>354</v>
      </c>
      <c r="V33" s="68" t="s">
        <v>355</v>
      </c>
      <c r="W33" s="68" t="s">
        <v>356</v>
      </c>
      <c r="X33" s="68" t="s">
        <v>357</v>
      </c>
      <c r="Y33" s="68" t="s">
        <v>358</v>
      </c>
      <c r="Z33" s="68" t="s">
        <v>359</v>
      </c>
      <c r="AA33" s="68" t="s">
        <v>360</v>
      </c>
      <c r="AB33" s="68" t="s">
        <v>361</v>
      </c>
    </row>
    <row r="34" spans="2:28">
      <c r="B34" s="184"/>
      <c r="C34" s="188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6" t="s">
        <v>142</v>
      </c>
      <c r="Q35" s="212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352</v>
      </c>
      <c r="D39" s="199"/>
      <c r="E39" s="199" t="s">
        <v>538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539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536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537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542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543</v>
      </c>
      <c r="D46" s="202" t="s">
        <v>541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365</v>
      </c>
      <c r="K46" s="199"/>
      <c r="L46" s="199"/>
      <c r="M46" s="199"/>
      <c r="N46" s="199"/>
      <c r="O46" s="200"/>
    </row>
    <row r="47" spans="2:28">
      <c r="B47" s="194"/>
      <c r="C47" s="201" t="s">
        <v>351</v>
      </c>
      <c r="D47" s="202" t="s">
        <v>541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365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586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1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0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525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532</v>
      </c>
      <c r="D55" s="154" t="s">
        <v>522</v>
      </c>
      <c r="E55" s="288">
        <f>1-SUMPRODUCT(F53:N53,F55:N55)</f>
        <v>1</v>
      </c>
      <c r="F55" s="288">
        <f>ROUND(F56/$D$56,4)</f>
        <v>1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544</v>
      </c>
      <c r="D56" s="187">
        <f>SUMPRODUCT(E56:N56,E53:N53)</f>
        <v>1</v>
      </c>
      <c r="E56" s="289">
        <f>E22</f>
        <v>1</v>
      </c>
      <c r="F56" s="289">
        <f t="shared" ref="F56:N56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527</v>
      </c>
      <c r="D58" s="189"/>
      <c r="E58" s="157" t="str">
        <f>E24</f>
        <v>Neustrellitz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6" t="s">
        <v>528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521</v>
      </c>
      <c r="D59" s="189"/>
      <c r="E59" s="161">
        <f>E25</f>
        <v>10278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11">IF(F64&gt;$F$62,0,1)</f>
        <v>1</v>
      </c>
      <c r="G63" s="179">
        <f t="shared" si="11"/>
        <v>1</v>
      </c>
      <c r="H63" s="179">
        <f t="shared" si="11"/>
        <v>1</v>
      </c>
      <c r="I63" s="179">
        <f t="shared" si="11"/>
        <v>0</v>
      </c>
      <c r="J63" s="179">
        <f t="shared" si="11"/>
        <v>0</v>
      </c>
      <c r="K63" s="179">
        <f t="shared" si="11"/>
        <v>0</v>
      </c>
      <c r="L63" s="179">
        <f t="shared" si="11"/>
        <v>0</v>
      </c>
      <c r="M63" s="179">
        <f t="shared" si="11"/>
        <v>0</v>
      </c>
      <c r="N63" s="179">
        <f t="shared" si="11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533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12">ROUND(G66/$D$66,4)</f>
        <v>0.1333</v>
      </c>
      <c r="H65" s="288">
        <f t="shared" si="12"/>
        <v>6.6699999999999995E-2</v>
      </c>
      <c r="I65" s="288">
        <f t="shared" si="12"/>
        <v>0</v>
      </c>
      <c r="J65" s="288">
        <f t="shared" si="12"/>
        <v>0</v>
      </c>
      <c r="K65" s="288">
        <f t="shared" si="12"/>
        <v>0</v>
      </c>
      <c r="L65" s="288">
        <f t="shared" si="12"/>
        <v>0</v>
      </c>
      <c r="M65" s="288">
        <f t="shared" si="12"/>
        <v>0</v>
      </c>
      <c r="N65" s="288">
        <f t="shared" si="12"/>
        <v>0</v>
      </c>
      <c r="O65" s="186"/>
    </row>
    <row r="66" spans="2:15">
      <c r="B66" s="184"/>
      <c r="C66" s="185" t="s">
        <v>540</v>
      </c>
      <c r="D66" s="187">
        <f>SUMPRODUCT(E66:N66,E63:N63)</f>
        <v>1.875</v>
      </c>
      <c r="E66" s="296">
        <f>E32</f>
        <v>1</v>
      </c>
      <c r="F66" s="296">
        <f t="shared" ref="F66:N66" si="13">F32</f>
        <v>0.5</v>
      </c>
      <c r="G66" s="296">
        <f t="shared" si="13"/>
        <v>0.25</v>
      </c>
      <c r="H66" s="296">
        <f t="shared" si="13"/>
        <v>0.125</v>
      </c>
      <c r="I66" s="296">
        <f t="shared" si="13"/>
        <v>0</v>
      </c>
      <c r="J66" s="296">
        <f t="shared" si="13"/>
        <v>0</v>
      </c>
      <c r="K66" s="296">
        <f t="shared" si="13"/>
        <v>0</v>
      </c>
      <c r="L66" s="296">
        <f t="shared" si="13"/>
        <v>0</v>
      </c>
      <c r="M66" s="296">
        <f t="shared" si="13"/>
        <v>0</v>
      </c>
      <c r="N66" s="296">
        <f t="shared" si="13"/>
        <v>0</v>
      </c>
      <c r="O66" s="186" t="s">
        <v>145</v>
      </c>
    </row>
    <row r="67" spans="2:15">
      <c r="B67" s="184"/>
      <c r="C67" s="188" t="s">
        <v>364</v>
      </c>
      <c r="D67" s="154" t="s">
        <v>363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6" t="s">
        <v>142</v>
      </c>
    </row>
    <row r="68" spans="2:15">
      <c r="B68" s="184"/>
      <c r="C68" s="188" t="s">
        <v>455</v>
      </c>
      <c r="D68" s="154" t="s">
        <v>454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6" t="s">
        <v>142</v>
      </c>
    </row>
    <row r="69" spans="2:15">
      <c r="B69" s="184"/>
      <c r="C69" s="188" t="s">
        <v>612</v>
      </c>
      <c r="D69" s="154" t="s">
        <v>613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6" t="s">
        <v>142</v>
      </c>
    </row>
    <row r="70" spans="2:15">
      <c r="B70" s="184"/>
      <c r="C70" s="193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6" t="s">
        <v>142</v>
      </c>
    </row>
    <row r="71" spans="2:15"/>
    <row r="72" spans="2:15" ht="15.75" customHeight="1">
      <c r="C72" s="345" t="s">
        <v>587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6" priority="28">
      <formula>IF(E$20&lt;=$F$18,1,0)</formula>
    </cfRule>
  </conditionalFormatting>
  <conditionalFormatting sqref="E32:N36">
    <cfRule type="expression" dxfId="45" priority="27">
      <formula>IF(E$30&lt;=$F$28,1,0)</formula>
    </cfRule>
  </conditionalFormatting>
  <conditionalFormatting sqref="E26:F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6:N59">
    <cfRule type="expression" dxfId="42" priority="22">
      <formula>IF(E$54&lt;=$F$52,1,0)</formula>
    </cfRule>
  </conditionalFormatting>
  <conditionalFormatting sqref="E60:N60">
    <cfRule type="expression" dxfId="41" priority="21">
      <formula>IF(E$54&lt;=$F$52,1,0)</formula>
    </cfRule>
  </conditionalFormatting>
  <conditionalFormatting sqref="E66:N68">
    <cfRule type="expression" dxfId="40" priority="15">
      <formula>IF(E$64&lt;=$F$62,1,0)</formula>
    </cfRule>
  </conditionalFormatting>
  <conditionalFormatting sqref="E65:N68 E70:N70">
    <cfRule type="expression" dxfId="39" priority="13">
      <formula>IF(E$64&gt;$F$62,1,0)</formula>
    </cfRule>
  </conditionalFormatting>
  <conditionalFormatting sqref="E56:N60">
    <cfRule type="expression" dxfId="38" priority="12">
      <formula>IF(E$54&gt;$F$52,1,0)</formula>
    </cfRule>
  </conditionalFormatting>
  <conditionalFormatting sqref="E21:N26">
    <cfRule type="expression" dxfId="37" priority="11">
      <formula>IF(E$20&gt;$F$18,1,0)</formula>
    </cfRule>
  </conditionalFormatting>
  <conditionalFormatting sqref="E32:N36">
    <cfRule type="expression" dxfId="36" priority="10">
      <formula>IF(E$30&gt;$F$28,1,0)</formula>
    </cfRule>
  </conditionalFormatting>
  <conditionalFormatting sqref="H11 H8:H9">
    <cfRule type="expression" dxfId="35" priority="9">
      <formula>IF($F$9=1,1,0)</formula>
    </cfRule>
  </conditionalFormatting>
  <conditionalFormatting sqref="E55:N55">
    <cfRule type="expression" dxfId="34" priority="8">
      <formula>IF(E$54&gt;$F$52,1,0)</formula>
    </cfRule>
  </conditionalFormatting>
  <conditionalFormatting sqref="E31:N31">
    <cfRule type="expression" dxfId="33" priority="7">
      <formula>IF(E$30&gt;$F$28,1,0)</formula>
    </cfRule>
  </conditionalFormatting>
  <conditionalFormatting sqref="E70:N70">
    <cfRule type="expression" dxfId="32" priority="6">
      <formula>IF(E$64&lt;=$F$62,1,0)</formula>
    </cfRule>
  </conditionalFormatting>
  <conditionalFormatting sqref="H10">
    <cfRule type="expression" dxfId="31" priority="5">
      <formula>IF($F$9=1,1,0)</formula>
    </cfRule>
  </conditionalFormatting>
  <conditionalFormatting sqref="E69:N69">
    <cfRule type="expression" dxfId="30" priority="2">
      <formula>IF(E$64&lt;=$F$62,1,0)</formula>
    </cfRule>
  </conditionalFormatting>
  <conditionalFormatting sqref="E69:N69">
    <cfRule type="expression" dxfId="29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E22:F22 I22:N22 F52 F62 G24:N24 G70:N70 E32:N34 E69:N69 F25:N2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551</v>
      </c>
    </row>
    <row r="3" spans="1:56" ht="15" customHeight="1">
      <c r="B3" s="172"/>
    </row>
    <row r="4" spans="1:56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SWNEUSTRELITZ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3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300">
        <v>2</v>
      </c>
      <c r="G10" s="57"/>
      <c r="H10" s="173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7">
        <f>INDEX('SLP-Verfahren'!D48:D62,'SLP-Temp-Gebiet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3" t="s">
        <v>591</v>
      </c>
      <c r="D13" s="343"/>
      <c r="E13" s="343"/>
      <c r="F13" s="184" t="s">
        <v>555</v>
      </c>
      <c r="G13" s="131" t="s">
        <v>553</v>
      </c>
      <c r="H13" s="266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4" t="s">
        <v>452</v>
      </c>
      <c r="D14" s="344"/>
      <c r="E14" s="90" t="s">
        <v>453</v>
      </c>
      <c r="F14" s="267" t="s">
        <v>85</v>
      </c>
      <c r="G14" s="268" t="s">
        <v>579</v>
      </c>
      <c r="H14" s="51">
        <v>0</v>
      </c>
      <c r="I14" s="57"/>
      <c r="J14" s="131"/>
      <c r="K14" s="131"/>
      <c r="L14" s="131"/>
      <c r="M14" s="131"/>
      <c r="N14" s="131"/>
      <c r="O14" s="174" t="s">
        <v>534</v>
      </c>
      <c r="R14" s="210" t="s">
        <v>571</v>
      </c>
      <c r="S14" s="210" t="s">
        <v>572</v>
      </c>
      <c r="T14" s="210" t="s">
        <v>573</v>
      </c>
      <c r="U14" s="210" t="s">
        <v>574</v>
      </c>
      <c r="V14" s="210" t="s">
        <v>554</v>
      </c>
      <c r="W14" s="210" t="s">
        <v>575</v>
      </c>
      <c r="X14" s="210" t="s">
        <v>576</v>
      </c>
      <c r="Y14" s="210" t="s">
        <v>577</v>
      </c>
      <c r="Z14" s="210" t="s">
        <v>578</v>
      </c>
      <c r="AA14" s="210" t="s">
        <v>579</v>
      </c>
      <c r="AB14" s="210" t="s">
        <v>580</v>
      </c>
      <c r="AC14" s="210" t="s">
        <v>581</v>
      </c>
    </row>
    <row r="15" spans="1:56" ht="19.5" customHeight="1">
      <c r="B15" s="131"/>
      <c r="C15" s="344" t="s">
        <v>390</v>
      </c>
      <c r="D15" s="344"/>
      <c r="E15" s="90" t="s">
        <v>453</v>
      </c>
      <c r="F15" s="267" t="s">
        <v>71</v>
      </c>
      <c r="G15" s="268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535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373</v>
      </c>
      <c r="AH15" s="265" t="s">
        <v>498</v>
      </c>
      <c r="AI15" s="265" t="s">
        <v>556</v>
      </c>
      <c r="AJ15" s="265" t="s">
        <v>557</v>
      </c>
      <c r="AK15" s="265" t="s">
        <v>558</v>
      </c>
      <c r="AL15" s="265" t="s">
        <v>559</v>
      </c>
      <c r="AM15" s="265" t="s">
        <v>560</v>
      </c>
      <c r="AN15" s="265" t="s">
        <v>561</v>
      </c>
      <c r="AO15" s="265" t="s">
        <v>562</v>
      </c>
      <c r="AP15" s="265" t="s">
        <v>563</v>
      </c>
      <c r="AQ15" s="265" t="s">
        <v>564</v>
      </c>
      <c r="AR15" s="265" t="s">
        <v>565</v>
      </c>
      <c r="AS15" s="265" t="s">
        <v>566</v>
      </c>
      <c r="AT15" s="265" t="s">
        <v>567</v>
      </c>
      <c r="AU15" s="265" t="s">
        <v>568</v>
      </c>
      <c r="AV15" s="265" t="s">
        <v>569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524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530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525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532</v>
      </c>
      <c r="D21" s="154" t="s">
        <v>522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544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527</v>
      </c>
      <c r="D24" s="189"/>
      <c r="E24" s="157" t="s">
        <v>588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6" t="s">
        <v>528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521</v>
      </c>
      <c r="D25" s="189"/>
      <c r="E25" s="161" t="s">
        <v>366</v>
      </c>
      <c r="F25" s="161" t="s">
        <v>366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533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540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364</v>
      </c>
      <c r="D33" s="154" t="s">
        <v>363</v>
      </c>
      <c r="E33" s="157" t="s">
        <v>3</v>
      </c>
      <c r="F33" s="157" t="s">
        <v>362</v>
      </c>
      <c r="G33" s="157" t="s">
        <v>353</v>
      </c>
      <c r="H33" s="157" t="s">
        <v>354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362</v>
      </c>
      <c r="T33" s="68" t="s">
        <v>353</v>
      </c>
      <c r="U33" s="68" t="s">
        <v>354</v>
      </c>
      <c r="V33" s="68" t="s">
        <v>355</v>
      </c>
      <c r="W33" s="68" t="s">
        <v>356</v>
      </c>
      <c r="X33" s="68" t="s">
        <v>357</v>
      </c>
      <c r="Y33" s="68" t="s">
        <v>358</v>
      </c>
      <c r="Z33" s="68" t="s">
        <v>359</v>
      </c>
      <c r="AA33" s="68" t="s">
        <v>360</v>
      </c>
      <c r="AB33" s="68" t="s">
        <v>361</v>
      </c>
    </row>
    <row r="34" spans="2:28">
      <c r="B34" s="184"/>
      <c r="C34" s="188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6" t="s">
        <v>142</v>
      </c>
      <c r="Q35" s="212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352</v>
      </c>
      <c r="D39" s="199"/>
      <c r="E39" s="199" t="s">
        <v>538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539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536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537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542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543</v>
      </c>
      <c r="D46" s="202" t="s">
        <v>541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365</v>
      </c>
      <c r="K46" s="199"/>
      <c r="L46" s="199"/>
      <c r="M46" s="199"/>
      <c r="N46" s="199"/>
      <c r="O46" s="200"/>
    </row>
    <row r="47" spans="2:28">
      <c r="B47" s="194"/>
      <c r="C47" s="201" t="s">
        <v>351</v>
      </c>
      <c r="D47" s="202" t="s">
        <v>541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365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586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525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532</v>
      </c>
      <c r="D55" s="154" t="s">
        <v>522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544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527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528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521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533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540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364</v>
      </c>
      <c r="D67" s="154" t="s">
        <v>363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455</v>
      </c>
      <c r="D68" s="154" t="s">
        <v>454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612</v>
      </c>
      <c r="D69" s="154" t="s">
        <v>613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45" t="s">
        <v>587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E7" sqref="E7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367</v>
      </c>
    </row>
    <row r="3" spans="2:26">
      <c r="B3" s="131" t="s">
        <v>470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372</v>
      </c>
      <c r="D5" s="54" t="str">
        <f>Netzbetreiber!$D$9</f>
        <v>Stadtwerke Neustrelitz GmbH</v>
      </c>
      <c r="E5" s="131"/>
      <c r="H5" s="89" t="s">
        <v>502</v>
      </c>
      <c r="I5" s="132" t="s">
        <v>505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339</v>
      </c>
      <c r="D6" s="54" t="str">
        <f>Netzbetreiber!$D$28</f>
        <v>SWNEUSTRELITZ</v>
      </c>
      <c r="E6" s="131"/>
      <c r="F6" s="131"/>
      <c r="I6" s="132" t="s">
        <v>515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492</v>
      </c>
      <c r="D7" s="342">
        <f>Netzbetreiber!$D$11</f>
        <v>9870109900000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42278</v>
      </c>
      <c r="E8" s="131"/>
      <c r="F8" s="131"/>
      <c r="H8" s="129" t="s">
        <v>500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499</v>
      </c>
      <c r="D10" s="135" t="s">
        <v>147</v>
      </c>
      <c r="E10" s="278" t="s">
        <v>517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642</v>
      </c>
      <c r="M10" s="151" t="s">
        <v>651</v>
      </c>
      <c r="N10" s="152" t="s">
        <v>652</v>
      </c>
      <c r="O10" s="152" t="s">
        <v>653</v>
      </c>
      <c r="P10" s="153" t="s">
        <v>654</v>
      </c>
      <c r="Q10" s="147" t="s">
        <v>643</v>
      </c>
      <c r="R10" s="137" t="s">
        <v>644</v>
      </c>
      <c r="S10" s="138" t="s">
        <v>645</v>
      </c>
      <c r="T10" s="138" t="s">
        <v>646</v>
      </c>
      <c r="U10" s="138" t="s">
        <v>647</v>
      </c>
      <c r="V10" s="138" t="s">
        <v>648</v>
      </c>
      <c r="W10" s="138" t="s">
        <v>649</v>
      </c>
      <c r="X10" s="139" t="s">
        <v>650</v>
      </c>
      <c r="Y10" s="306" t="s">
        <v>655</v>
      </c>
    </row>
    <row r="11" spans="2:26" ht="15.75" thickBot="1">
      <c r="B11" s="140" t="s">
        <v>501</v>
      </c>
      <c r="C11" s="141" t="s">
        <v>516</v>
      </c>
      <c r="D11" s="305" t="s">
        <v>248</v>
      </c>
      <c r="E11" s="165" t="s">
        <v>523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SWNEUSTRELITZ</v>
      </c>
      <c r="D12" s="63" t="s">
        <v>248</v>
      </c>
      <c r="E12" s="166" t="s">
        <v>57</v>
      </c>
      <c r="F12" s="308" t="str">
        <f>VLOOKUP($E12,'BDEW-Standard'!$B$3:$M$158,F$9,0)</f>
        <v>V14</v>
      </c>
      <c r="H12" s="279">
        <f>ROUND(VLOOKUP($E12,'BDEW-Standard'!$B$3:$M$158,H$9,0),7)</f>
        <v>3.159294</v>
      </c>
      <c r="I12" s="279">
        <f>ROUND(VLOOKUP($E12,'BDEW-Standard'!$B$3:$M$158,I$9,0),7)</f>
        <v>-37.406886</v>
      </c>
      <c r="J12" s="279">
        <f>ROUND(VLOOKUP($E12,'BDEW-Standard'!$B$3:$M$158,J$9,0),7)</f>
        <v>6.1418926000000003</v>
      </c>
      <c r="K12" s="279">
        <f>ROUND(VLOOKUP($E12,'BDEW-Standard'!$B$3:$M$158,K$9,0),7)</f>
        <v>9.2168600000000003E-2</v>
      </c>
      <c r="L12" s="280">
        <f>ROUND(VLOOKUP($E12,'BDEW-Standard'!$B$3:$M$158,L$9,0),1)</f>
        <v>40</v>
      </c>
      <c r="M12" s="279">
        <f>ROUND(VLOOKUP($E12,'BDEW-Standard'!$B$3:$M$158,M$9,0),7)</f>
        <v>0</v>
      </c>
      <c r="N12" s="279">
        <f>ROUND(VLOOKUP($E12,'BDEW-Standard'!$B$3:$M$158,N$9,0),7)</f>
        <v>0</v>
      </c>
      <c r="O12" s="279">
        <f>ROUND(VLOOKUP($E12,'BDEW-Standard'!$B$3:$M$158,O$9,0),7)</f>
        <v>0</v>
      </c>
      <c r="P12" s="279">
        <f>ROUND(VLOOKUP($E12,'BDEW-Standard'!$B$3:$M$158,P$9,0),7)</f>
        <v>0</v>
      </c>
      <c r="Q12" s="281">
        <f t="shared" ref="Q12:Q26" si="1">($H12/(1+($I12/($Q$9-$L12))^$J12)+$K12)+MAX($M12*$Q$9+$N12,$O12*$Q$9+$P12)</f>
        <v>0.96762600224521156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 t="shared" ref="X12:X24" si="2"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SWNEUSTRELITZ</v>
      </c>
      <c r="D13" s="63" t="s">
        <v>248</v>
      </c>
      <c r="E13" s="166" t="s">
        <v>67</v>
      </c>
      <c r="F13" s="308" t="str">
        <f>VLOOKUP($E13,'BDEW-Standard'!$B$3:$M$158,F$9,0)</f>
        <v>V24</v>
      </c>
      <c r="H13" s="279">
        <f>ROUND(VLOOKUP($E13,'BDEW-Standard'!$B$3:$M$158,H$9,0),7)</f>
        <v>2.4859160999999999</v>
      </c>
      <c r="I13" s="279">
        <f>ROUND(VLOOKUP($E13,'BDEW-Standard'!$B$3:$M$158,I$9,0),7)</f>
        <v>-35.043597800000001</v>
      </c>
      <c r="J13" s="279">
        <f>ROUND(VLOOKUP($E13,'BDEW-Standard'!$B$3:$M$158,J$9,0),7)</f>
        <v>6.2818214000000001</v>
      </c>
      <c r="K13" s="279">
        <f>ROUND(VLOOKUP($E13,'BDEW-Standard'!$B$3:$M$158,K$9,0),7)</f>
        <v>0.1282547</v>
      </c>
      <c r="L13" s="280">
        <f>ROUND(VLOOKUP($E13,'BDEW-Standard'!$B$3:$M$158,L$9,0),1)</f>
        <v>40</v>
      </c>
      <c r="M13" s="279">
        <f>ROUND(VLOOKUP($E13,'BDEW-Standard'!$B$3:$M$158,M$9,0),7)</f>
        <v>0</v>
      </c>
      <c r="N13" s="279">
        <f>ROUND(VLOOKUP($E13,'BDEW-Standard'!$B$3:$M$158,N$9,0),7)</f>
        <v>0</v>
      </c>
      <c r="O13" s="279">
        <f>ROUND(VLOOKUP($E13,'BDEW-Standard'!$B$3:$M$158,O$9,0),7)</f>
        <v>0</v>
      </c>
      <c r="P13" s="279">
        <f>ROUND(VLOOKUP($E13,'BDEW-Standard'!$B$3:$M$158,P$9,0),7)</f>
        <v>0</v>
      </c>
      <c r="Q13" s="281">
        <f t="shared" si="1"/>
        <v>1.0258303127680664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 t="shared" si="2"/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SWNEUSTRELITZ</v>
      </c>
      <c r="D14" s="63" t="s">
        <v>248</v>
      </c>
      <c r="E14" s="166" t="s">
        <v>4</v>
      </c>
      <c r="F14" s="308" t="str">
        <f>VLOOKUP($E14,'BDEW-Standard'!$B$3:$M$158,F$9,0)</f>
        <v>HK3</v>
      </c>
      <c r="H14" s="279">
        <f>ROUND(VLOOKUP($E14,'BDEW-Standard'!$B$3:$M$158,H$9,0),7)</f>
        <v>0.40409319999999999</v>
      </c>
      <c r="I14" s="279">
        <f>ROUND(VLOOKUP($E14,'BDEW-Standard'!$B$3:$M$158,I$9,0),7)</f>
        <v>-24.439296800000001</v>
      </c>
      <c r="J14" s="279">
        <f>ROUND(VLOOKUP($E14,'BDEW-Standard'!$B$3:$M$158,J$9,0),7)</f>
        <v>6.5718174999999999</v>
      </c>
      <c r="K14" s="279">
        <f>ROUND(VLOOKUP($E14,'BDEW-Standard'!$B$3:$M$158,K$9,0),7)</f>
        <v>0.71077100000000004</v>
      </c>
      <c r="L14" s="280">
        <f>ROUND(VLOOKUP($E14,'BDEW-Standard'!$B$3:$M$158,L$9,0),1)</f>
        <v>40</v>
      </c>
      <c r="M14" s="279">
        <f>ROUND(VLOOKUP($E14,'BDEW-Standard'!$B$3:$M$158,M$9,0),7)</f>
        <v>0</v>
      </c>
      <c r="N14" s="279">
        <f>ROUND(VLOOKUP($E14,'BDEW-Standard'!$B$3:$M$158,N$9,0),7)</f>
        <v>0</v>
      </c>
      <c r="O14" s="279">
        <f>ROUND(VLOOKUP($E14,'BDEW-Standard'!$B$3:$M$158,O$9,0),7)</f>
        <v>0</v>
      </c>
      <c r="P14" s="279">
        <f>ROUND(VLOOKUP($E14,'BDEW-Standard'!$B$3:$M$158,P$9,0),7)</f>
        <v>0</v>
      </c>
      <c r="Q14" s="281">
        <f t="shared" si="1"/>
        <v>1.0561214000512988</v>
      </c>
      <c r="R14" s="282">
        <f>ROUND(VLOOKUP(MID($E14,4,3),'Wochentag F(WT)'!$B$7:$J$22,R$9,0),4)</f>
        <v>1</v>
      </c>
      <c r="S14" s="282">
        <f>ROUND(VLOOKUP(MID($E14,4,3),'Wochentag F(WT)'!$B$7:$J$22,S$9,0),4)</f>
        <v>1</v>
      </c>
      <c r="T14" s="282">
        <f>ROUND(VLOOKUP(MID($E14,4,3),'Wochentag F(WT)'!$B$7:$J$22,T$9,0),4)</f>
        <v>1</v>
      </c>
      <c r="U14" s="282">
        <f>ROUND(VLOOKUP(MID($E14,4,3),'Wochentag F(WT)'!$B$7:$J$22,U$9,0),4)</f>
        <v>1</v>
      </c>
      <c r="V14" s="282">
        <f>ROUND(VLOOKUP(MID($E14,4,3),'Wochentag F(WT)'!$B$7:$J$22,V$9,0),4)</f>
        <v>1</v>
      </c>
      <c r="W14" s="282">
        <f>ROUND(VLOOKUP(MID($E14,4,3),'Wochentag F(WT)'!$B$7:$J$22,W$9,0),4)</f>
        <v>1</v>
      </c>
      <c r="X14" s="283">
        <f t="shared" si="2"/>
        <v>1</v>
      </c>
      <c r="Y14" s="304"/>
      <c r="Z14" s="213"/>
    </row>
    <row r="15" spans="2:26" s="144" customFormat="1">
      <c r="B15" s="145">
        <v>4</v>
      </c>
      <c r="C15" s="146" t="str">
        <f t="shared" si="0"/>
        <v>SWNEUSTRELITZ</v>
      </c>
      <c r="D15" s="63" t="s">
        <v>248</v>
      </c>
      <c r="E15" s="166" t="s">
        <v>658</v>
      </c>
      <c r="F15" s="308" t="str">
        <f>VLOOKUP($E15,'BDEW-Standard'!$B$3:$M$158,F$9,0)</f>
        <v>MK4</v>
      </c>
      <c r="H15" s="279">
        <f>ROUND(VLOOKUP($E15,'BDEW-Standard'!$B$3:$M$158,H$9,0),7)</f>
        <v>3.1177248</v>
      </c>
      <c r="I15" s="279">
        <f>ROUND(VLOOKUP($E15,'BDEW-Standard'!$B$3:$M$158,I$9,0),7)</f>
        <v>-35.871506199999999</v>
      </c>
      <c r="J15" s="279">
        <f>ROUND(VLOOKUP($E15,'BDEW-Standard'!$B$3:$M$158,J$9,0),7)</f>
        <v>7.5186828999999999</v>
      </c>
      <c r="K15" s="279">
        <f>ROUND(VLOOKUP($E15,'BDEW-Standard'!$B$3:$M$158,K$9,0),7)</f>
        <v>3.4330100000000002E-2</v>
      </c>
      <c r="L15" s="280">
        <f>ROUND(VLOOKUP($E15,'BDEW-Standard'!$B$3:$M$158,L$9,0),1)</f>
        <v>40</v>
      </c>
      <c r="M15" s="279">
        <f>ROUND(VLOOKUP($E15,'BDEW-Standard'!$B$3:$M$158,M$9,0),7)</f>
        <v>0</v>
      </c>
      <c r="N15" s="279">
        <f>ROUND(VLOOKUP($E15,'BDEW-Standard'!$B$3:$M$158,N$9,0),7)</f>
        <v>0</v>
      </c>
      <c r="O15" s="279">
        <f>ROUND(VLOOKUP($E15,'BDEW-Standard'!$B$3:$M$158,O$9,0),7)</f>
        <v>0</v>
      </c>
      <c r="P15" s="279">
        <f>ROUND(VLOOKUP($E15,'BDEW-Standard'!$B$3:$M$158,P$9,0),7)</f>
        <v>0</v>
      </c>
      <c r="Q15" s="281">
        <f t="shared" si="1"/>
        <v>0.9622064996731321</v>
      </c>
      <c r="R15" s="282">
        <f>ROUND(VLOOKUP(MID($E15,4,3),'Wochentag F(WT)'!$B$7:$J$22,R$9,0),4)</f>
        <v>1.0699000000000001</v>
      </c>
      <c r="S15" s="282">
        <f>ROUND(VLOOKUP(MID($E15,4,3),'Wochentag F(WT)'!$B$7:$J$22,S$9,0),4)</f>
        <v>1.0365</v>
      </c>
      <c r="T15" s="282">
        <f>ROUND(VLOOKUP(MID($E15,4,3),'Wochentag F(WT)'!$B$7:$J$22,T$9,0),4)</f>
        <v>0.99329999999999996</v>
      </c>
      <c r="U15" s="282">
        <f>ROUND(VLOOKUP(MID($E15,4,3),'Wochentag F(WT)'!$B$7:$J$22,U$9,0),4)</f>
        <v>0.99480000000000002</v>
      </c>
      <c r="V15" s="282">
        <f>ROUND(VLOOKUP(MID($E15,4,3),'Wochentag F(WT)'!$B$7:$J$22,V$9,0),4)</f>
        <v>1.0659000000000001</v>
      </c>
      <c r="W15" s="282">
        <f>ROUND(VLOOKUP(MID($E15,4,3),'Wochentag F(WT)'!$B$7:$J$22,W$9,0),4)</f>
        <v>0.93620000000000003</v>
      </c>
      <c r="X15" s="283">
        <f t="shared" si="2"/>
        <v>0.90339999999999954</v>
      </c>
      <c r="Y15" s="304"/>
      <c r="Z15" s="213"/>
    </row>
    <row r="16" spans="2:26" s="144" customFormat="1">
      <c r="B16" s="145">
        <v>5</v>
      </c>
      <c r="C16" s="146" t="str">
        <f t="shared" si="0"/>
        <v>SWNEUSTRELITZ</v>
      </c>
      <c r="D16" s="63" t="s">
        <v>248</v>
      </c>
      <c r="E16" s="166" t="s">
        <v>659</v>
      </c>
      <c r="F16" s="308" t="str">
        <f>VLOOKUP($E16,'BDEW-Standard'!$B$3:$M$158,F$9,0)</f>
        <v>HA4</v>
      </c>
      <c r="H16" s="279">
        <f>ROUND(VLOOKUP($E16,'BDEW-Standard'!$B$3:$M$158,H$9,0),7)</f>
        <v>4.0196902000000003</v>
      </c>
      <c r="I16" s="279">
        <f>ROUND(VLOOKUP($E16,'BDEW-Standard'!$B$3:$M$158,I$9,0),7)</f>
        <v>-37.828203700000003</v>
      </c>
      <c r="J16" s="279">
        <f>ROUND(VLOOKUP($E16,'BDEW-Standard'!$B$3:$M$158,J$9,0),7)</f>
        <v>8.1593368999999996</v>
      </c>
      <c r="K16" s="279">
        <f>ROUND(VLOOKUP($E16,'BDEW-Standard'!$B$3:$M$158,K$9,0),7)</f>
        <v>4.72845E-2</v>
      </c>
      <c r="L16" s="280">
        <f>ROUND(VLOOKUP($E16,'BDEW-Standard'!$B$3:$M$158,L$9,0),1)</f>
        <v>40</v>
      </c>
      <c r="M16" s="279">
        <f>ROUND(VLOOKUP($E16,'BDEW-Standard'!$B$3:$M$158,M$9,0),7)</f>
        <v>0</v>
      </c>
      <c r="N16" s="279">
        <f>ROUND(VLOOKUP($E16,'BDEW-Standard'!$B$3:$M$158,N$9,0),7)</f>
        <v>0</v>
      </c>
      <c r="O16" s="279">
        <f>ROUND(VLOOKUP($E16,'BDEW-Standard'!$B$3:$M$158,O$9,0),7)</f>
        <v>0</v>
      </c>
      <c r="P16" s="279">
        <f>ROUND(VLOOKUP($E16,'BDEW-Standard'!$B$3:$M$158,P$9,0),7)</f>
        <v>0</v>
      </c>
      <c r="Q16" s="281">
        <f t="shared" si="1"/>
        <v>0.86486713303260787</v>
      </c>
      <c r="R16" s="282">
        <f>ROUND(VLOOKUP(MID($E16,4,3),'Wochentag F(WT)'!$B$7:$J$22,R$9,0),4)</f>
        <v>1.0358000000000001</v>
      </c>
      <c r="S16" s="282">
        <f>ROUND(VLOOKUP(MID($E16,4,3),'Wochentag F(WT)'!$B$7:$J$22,S$9,0),4)</f>
        <v>1.0232000000000001</v>
      </c>
      <c r="T16" s="282">
        <f>ROUND(VLOOKUP(MID($E16,4,3),'Wochentag F(WT)'!$B$7:$J$22,T$9,0),4)</f>
        <v>1.0251999999999999</v>
      </c>
      <c r="U16" s="282">
        <f>ROUND(VLOOKUP(MID($E16,4,3),'Wochentag F(WT)'!$B$7:$J$22,U$9,0),4)</f>
        <v>1.0295000000000001</v>
      </c>
      <c r="V16" s="282">
        <f>ROUND(VLOOKUP(MID($E16,4,3),'Wochentag F(WT)'!$B$7:$J$22,V$9,0),4)</f>
        <v>1.0253000000000001</v>
      </c>
      <c r="W16" s="282">
        <f>ROUND(VLOOKUP(MID($E16,4,3),'Wochentag F(WT)'!$B$7:$J$22,W$9,0),4)</f>
        <v>0.96750000000000003</v>
      </c>
      <c r="X16" s="283">
        <f t="shared" si="2"/>
        <v>0.89350000000000041</v>
      </c>
      <c r="Y16" s="304"/>
      <c r="Z16" s="213"/>
    </row>
    <row r="17" spans="2:26" s="144" customFormat="1">
      <c r="B17" s="145">
        <v>6</v>
      </c>
      <c r="C17" s="146" t="str">
        <f t="shared" si="0"/>
        <v>SWNEUSTRELITZ</v>
      </c>
      <c r="D17" s="63" t="s">
        <v>248</v>
      </c>
      <c r="E17" s="166" t="s">
        <v>660</v>
      </c>
      <c r="F17" s="308" t="str">
        <f>VLOOKUP($E17,'BDEW-Standard'!$B$3:$M$158,F$9,0)</f>
        <v>KO4</v>
      </c>
      <c r="H17" s="279">
        <f>ROUND(VLOOKUP($E17,'BDEW-Standard'!$B$3:$M$158,H$9,0),7)</f>
        <v>3.4428942999999999</v>
      </c>
      <c r="I17" s="279">
        <f>ROUND(VLOOKUP($E17,'BDEW-Standard'!$B$3:$M$158,I$9,0),7)</f>
        <v>-36.659050399999998</v>
      </c>
      <c r="J17" s="279">
        <f>ROUND(VLOOKUP($E17,'BDEW-Standard'!$B$3:$M$158,J$9,0),7)</f>
        <v>7.6083226000000002</v>
      </c>
      <c r="K17" s="279">
        <f>ROUND(VLOOKUP($E17,'BDEW-Standard'!$B$3:$M$158,K$9,0),7)</f>
        <v>7.4685000000000001E-2</v>
      </c>
      <c r="L17" s="280">
        <f>ROUND(VLOOKUP($E17,'BDEW-Standard'!$B$3:$M$158,L$9,0),1)</f>
        <v>40</v>
      </c>
      <c r="M17" s="279">
        <f>ROUND(VLOOKUP($E17,'BDEW-Standard'!$B$3:$M$158,M$9,0),7)</f>
        <v>0</v>
      </c>
      <c r="N17" s="279">
        <f>ROUND(VLOOKUP($E17,'BDEW-Standard'!$B$3:$M$158,N$9,0),7)</f>
        <v>0</v>
      </c>
      <c r="O17" s="279">
        <f>ROUND(VLOOKUP($E17,'BDEW-Standard'!$B$3:$M$158,O$9,0),7)</f>
        <v>0</v>
      </c>
      <c r="P17" s="279">
        <f>ROUND(VLOOKUP($E17,'BDEW-Standard'!$B$3:$M$158,P$9,0),7)</f>
        <v>0</v>
      </c>
      <c r="Q17" s="281">
        <f t="shared" si="1"/>
        <v>0.97768382110526542</v>
      </c>
      <c r="R17" s="282">
        <f>ROUND(VLOOKUP(MID($E17,4,3),'Wochentag F(WT)'!$B$7:$J$22,R$9,0),4)</f>
        <v>1.0354000000000001</v>
      </c>
      <c r="S17" s="282">
        <f>ROUND(VLOOKUP(MID($E17,4,3),'Wochentag F(WT)'!$B$7:$J$22,S$9,0),4)</f>
        <v>1.0523</v>
      </c>
      <c r="T17" s="282">
        <f>ROUND(VLOOKUP(MID($E17,4,3),'Wochentag F(WT)'!$B$7:$J$22,T$9,0),4)</f>
        <v>1.0448999999999999</v>
      </c>
      <c r="U17" s="282">
        <f>ROUND(VLOOKUP(MID($E17,4,3),'Wochentag F(WT)'!$B$7:$J$22,U$9,0),4)</f>
        <v>1.0494000000000001</v>
      </c>
      <c r="V17" s="282">
        <f>ROUND(VLOOKUP(MID($E17,4,3),'Wochentag F(WT)'!$B$7:$J$22,V$9,0),4)</f>
        <v>0.98850000000000005</v>
      </c>
      <c r="W17" s="282">
        <f>ROUND(VLOOKUP(MID($E17,4,3),'Wochentag F(WT)'!$B$7:$J$22,W$9,0),4)</f>
        <v>0.88600000000000001</v>
      </c>
      <c r="X17" s="283">
        <f t="shared" si="2"/>
        <v>0.94349999999999934</v>
      </c>
      <c r="Y17" s="304"/>
      <c r="Z17" s="213"/>
    </row>
    <row r="18" spans="2:26" s="144" customFormat="1">
      <c r="B18" s="145">
        <v>7</v>
      </c>
      <c r="C18" s="146" t="str">
        <f t="shared" si="0"/>
        <v>SWNEUSTRELITZ</v>
      </c>
      <c r="D18" s="63" t="s">
        <v>248</v>
      </c>
      <c r="E18" s="166" t="s">
        <v>661</v>
      </c>
      <c r="F18" s="308" t="str">
        <f>VLOOKUP($E18,'BDEW-Standard'!$B$3:$M$158,F$9,0)</f>
        <v>BD4</v>
      </c>
      <c r="H18" s="279">
        <f>ROUND(VLOOKUP($E18,'BDEW-Standard'!$B$3:$M$158,H$9,0),7)</f>
        <v>3.75</v>
      </c>
      <c r="I18" s="279">
        <f>ROUND(VLOOKUP($E18,'BDEW-Standard'!$B$3:$M$158,I$9,0),7)</f>
        <v>-37.5</v>
      </c>
      <c r="J18" s="279">
        <f>ROUND(VLOOKUP($E18,'BDEW-Standard'!$B$3:$M$158,J$9,0),7)</f>
        <v>6.8</v>
      </c>
      <c r="K18" s="279">
        <f>ROUND(VLOOKUP($E18,'BDEW-Standard'!$B$3:$M$158,K$9,0),7)</f>
        <v>6.0911300000000002E-2</v>
      </c>
      <c r="L18" s="280">
        <f>ROUND(VLOOKUP($E18,'BDEW-Standard'!$B$3:$M$158,L$9,0),1)</f>
        <v>40</v>
      </c>
      <c r="M18" s="279">
        <f>ROUND(VLOOKUP($E18,'BDEW-Standard'!$B$3:$M$158,M$9,0),7)</f>
        <v>0</v>
      </c>
      <c r="N18" s="279">
        <f>ROUND(VLOOKUP($E18,'BDEW-Standard'!$B$3:$M$158,N$9,0),7)</f>
        <v>0</v>
      </c>
      <c r="O18" s="279">
        <f>ROUND(VLOOKUP($E18,'BDEW-Standard'!$B$3:$M$158,O$9,0),7)</f>
        <v>0</v>
      </c>
      <c r="P18" s="279">
        <f>ROUND(VLOOKUP($E18,'BDEW-Standard'!$B$3:$M$158,P$9,0),7)</f>
        <v>0</v>
      </c>
      <c r="Q18" s="281">
        <f t="shared" si="1"/>
        <v>1.0126136468627658</v>
      </c>
      <c r="R18" s="282">
        <f>ROUND(VLOOKUP(MID($E18,4,3),'Wochentag F(WT)'!$B$7:$J$22,R$9,0),4)</f>
        <v>1.1052</v>
      </c>
      <c r="S18" s="282">
        <f>ROUND(VLOOKUP(MID($E18,4,3),'Wochentag F(WT)'!$B$7:$J$22,S$9,0),4)</f>
        <v>1.0857000000000001</v>
      </c>
      <c r="T18" s="282">
        <f>ROUND(VLOOKUP(MID($E18,4,3),'Wochentag F(WT)'!$B$7:$J$22,T$9,0),4)</f>
        <v>1.0378000000000001</v>
      </c>
      <c r="U18" s="282">
        <f>ROUND(VLOOKUP(MID($E18,4,3),'Wochentag F(WT)'!$B$7:$J$22,U$9,0),4)</f>
        <v>1.0622</v>
      </c>
      <c r="V18" s="282">
        <f>ROUND(VLOOKUP(MID($E18,4,3),'Wochentag F(WT)'!$B$7:$J$22,V$9,0),4)</f>
        <v>1.0266</v>
      </c>
      <c r="W18" s="282">
        <f>ROUND(VLOOKUP(MID($E18,4,3),'Wochentag F(WT)'!$B$7:$J$22,W$9,0),4)</f>
        <v>0.76290000000000002</v>
      </c>
      <c r="X18" s="283">
        <f t="shared" si="2"/>
        <v>0.91959999999999997</v>
      </c>
      <c r="Y18" s="304"/>
      <c r="Z18" s="213"/>
    </row>
    <row r="19" spans="2:26" s="144" customFormat="1">
      <c r="B19" s="145">
        <v>8</v>
      </c>
      <c r="C19" s="146" t="str">
        <f t="shared" si="0"/>
        <v>SWNEUSTRELITZ</v>
      </c>
      <c r="D19" s="63" t="s">
        <v>248</v>
      </c>
      <c r="E19" s="166" t="s">
        <v>662</v>
      </c>
      <c r="F19" s="308" t="str">
        <f>VLOOKUP($E19,'BDEW-Standard'!$B$3:$M$158,F$9,0)</f>
        <v>GA4</v>
      </c>
      <c r="H19" s="279">
        <f>ROUND(VLOOKUP($E19,'BDEW-Standard'!$B$3:$M$158,H$9,0),7)</f>
        <v>2.8195655999999998</v>
      </c>
      <c r="I19" s="279">
        <f>ROUND(VLOOKUP($E19,'BDEW-Standard'!$B$3:$M$158,I$9,0),7)</f>
        <v>-36</v>
      </c>
      <c r="J19" s="279">
        <f>ROUND(VLOOKUP($E19,'BDEW-Standard'!$B$3:$M$158,J$9,0),7)</f>
        <v>7.7368518000000002</v>
      </c>
      <c r="K19" s="279">
        <f>ROUND(VLOOKUP($E19,'BDEW-Standard'!$B$3:$M$158,K$9,0),7)</f>
        <v>0.157281</v>
      </c>
      <c r="L19" s="280">
        <f>ROUND(VLOOKUP($E19,'BDEW-Standard'!$B$3:$M$158,L$9,0),1)</f>
        <v>40</v>
      </c>
      <c r="M19" s="279">
        <f>ROUND(VLOOKUP($E19,'BDEW-Standard'!$B$3:$M$158,M$9,0),7)</f>
        <v>0</v>
      </c>
      <c r="N19" s="279">
        <f>ROUND(VLOOKUP($E19,'BDEW-Standard'!$B$3:$M$158,N$9,0),7)</f>
        <v>0</v>
      </c>
      <c r="O19" s="279">
        <f>ROUND(VLOOKUP($E19,'BDEW-Standard'!$B$3:$M$158,O$9,0),7)</f>
        <v>0</v>
      </c>
      <c r="P19" s="279">
        <f>ROUND(VLOOKUP($E19,'BDEW-Standard'!$B$3:$M$158,P$9,0),7)</f>
        <v>0</v>
      </c>
      <c r="Q19" s="281">
        <f t="shared" si="1"/>
        <v>0.96576337685759206</v>
      </c>
      <c r="R19" s="282">
        <f>ROUND(VLOOKUP(MID($E19,4,3),'Wochentag F(WT)'!$B$7:$J$22,R$9,0),4)</f>
        <v>0.93220000000000003</v>
      </c>
      <c r="S19" s="282">
        <f>ROUND(VLOOKUP(MID($E19,4,3),'Wochentag F(WT)'!$B$7:$J$22,S$9,0),4)</f>
        <v>0.98939999999999995</v>
      </c>
      <c r="T19" s="282">
        <f>ROUND(VLOOKUP(MID($E19,4,3),'Wochentag F(WT)'!$B$7:$J$22,T$9,0),4)</f>
        <v>1.0033000000000001</v>
      </c>
      <c r="U19" s="282">
        <f>ROUND(VLOOKUP(MID($E19,4,3),'Wochentag F(WT)'!$B$7:$J$22,U$9,0),4)</f>
        <v>1.0108999999999999</v>
      </c>
      <c r="V19" s="282">
        <f>ROUND(VLOOKUP(MID($E19,4,3),'Wochentag F(WT)'!$B$7:$J$22,V$9,0),4)</f>
        <v>1.018</v>
      </c>
      <c r="W19" s="282">
        <f>ROUND(VLOOKUP(MID($E19,4,3),'Wochentag F(WT)'!$B$7:$J$22,W$9,0),4)</f>
        <v>1.0356000000000001</v>
      </c>
      <c r="X19" s="283">
        <f t="shared" si="2"/>
        <v>1.0106000000000002</v>
      </c>
      <c r="Y19" s="304"/>
      <c r="Z19" s="213"/>
    </row>
    <row r="20" spans="2:26" s="144" customFormat="1">
      <c r="B20" s="145">
        <v>9</v>
      </c>
      <c r="C20" s="146" t="str">
        <f t="shared" si="0"/>
        <v>SWNEUSTRELITZ</v>
      </c>
      <c r="D20" s="63" t="s">
        <v>248</v>
      </c>
      <c r="E20" s="166" t="s">
        <v>663</v>
      </c>
      <c r="F20" s="308" t="str">
        <f>VLOOKUP($E20,'BDEW-Standard'!$B$3:$M$158,F$9,0)</f>
        <v>BH4</v>
      </c>
      <c r="H20" s="279">
        <f>ROUND(VLOOKUP($E20,'BDEW-Standard'!$B$3:$M$158,H$9,0),7)</f>
        <v>2.4595180999999999</v>
      </c>
      <c r="I20" s="279">
        <f>ROUND(VLOOKUP($E20,'BDEW-Standard'!$B$3:$M$158,I$9,0),7)</f>
        <v>-35.253212400000002</v>
      </c>
      <c r="J20" s="279">
        <f>ROUND(VLOOKUP($E20,'BDEW-Standard'!$B$3:$M$158,J$9,0),7)</f>
        <v>6.0587001000000003</v>
      </c>
      <c r="K20" s="279">
        <f>ROUND(VLOOKUP($E20,'BDEW-Standard'!$B$3:$M$158,K$9,0),7)</f>
        <v>0.16473699999999999</v>
      </c>
      <c r="L20" s="280">
        <f>ROUND(VLOOKUP($E20,'BDEW-Standard'!$B$3:$M$158,L$9,0),1)</f>
        <v>40</v>
      </c>
      <c r="M20" s="279">
        <f>ROUND(VLOOKUP($E20,'BDEW-Standard'!$B$3:$M$158,M$9,0),7)</f>
        <v>0</v>
      </c>
      <c r="N20" s="279">
        <f>ROUND(VLOOKUP($E20,'BDEW-Standard'!$B$3:$M$158,N$9,0),7)</f>
        <v>0</v>
      </c>
      <c r="O20" s="279">
        <f>ROUND(VLOOKUP($E20,'BDEW-Standard'!$B$3:$M$158,O$9,0),7)</f>
        <v>0</v>
      </c>
      <c r="P20" s="279">
        <f>ROUND(VLOOKUP($E20,'BDEW-Standard'!$B$3:$M$158,P$9,0),7)</f>
        <v>0</v>
      </c>
      <c r="Q20" s="281">
        <f t="shared" si="1"/>
        <v>1.043802057143173</v>
      </c>
      <c r="R20" s="282">
        <f>ROUND(VLOOKUP(MID($E20,4,3),'Wochentag F(WT)'!$B$7:$J$22,R$9,0),4)</f>
        <v>0.97670000000000001</v>
      </c>
      <c r="S20" s="282">
        <f>ROUND(VLOOKUP(MID($E20,4,3),'Wochentag F(WT)'!$B$7:$J$22,S$9,0),4)</f>
        <v>1.0388999999999999</v>
      </c>
      <c r="T20" s="282">
        <f>ROUND(VLOOKUP(MID($E20,4,3),'Wochentag F(WT)'!$B$7:$J$22,T$9,0),4)</f>
        <v>1.0027999999999999</v>
      </c>
      <c r="U20" s="282">
        <f>ROUND(VLOOKUP(MID($E20,4,3),'Wochentag F(WT)'!$B$7:$J$22,U$9,0),4)</f>
        <v>1.0162</v>
      </c>
      <c r="V20" s="282">
        <f>ROUND(VLOOKUP(MID($E20,4,3),'Wochentag F(WT)'!$B$7:$J$22,V$9,0),4)</f>
        <v>1.0024</v>
      </c>
      <c r="W20" s="282">
        <f>ROUND(VLOOKUP(MID($E20,4,3),'Wochentag F(WT)'!$B$7:$J$22,W$9,0),4)</f>
        <v>1.0043</v>
      </c>
      <c r="X20" s="283">
        <f t="shared" si="2"/>
        <v>0.95870000000000122</v>
      </c>
      <c r="Y20" s="304"/>
      <c r="Z20" s="213"/>
    </row>
    <row r="21" spans="2:26" s="144" customFormat="1">
      <c r="B21" s="145">
        <v>10</v>
      </c>
      <c r="C21" s="146" t="str">
        <f t="shared" si="0"/>
        <v>SWNEUSTRELITZ</v>
      </c>
      <c r="D21" s="63" t="s">
        <v>248</v>
      </c>
      <c r="E21" s="166" t="s">
        <v>664</v>
      </c>
      <c r="F21" s="308" t="str">
        <f>VLOOKUP($E21,'BDEW-Standard'!$B$3:$M$158,F$9,0)</f>
        <v>WA4</v>
      </c>
      <c r="H21" s="279">
        <f>ROUND(VLOOKUP($E21,'BDEW-Standard'!$B$3:$M$158,H$9,0),7)</f>
        <v>1.0535874999999999</v>
      </c>
      <c r="I21" s="279">
        <f>ROUND(VLOOKUP($E21,'BDEW-Standard'!$B$3:$M$158,I$9,0),7)</f>
        <v>-35.299999999999997</v>
      </c>
      <c r="J21" s="279">
        <f>ROUND(VLOOKUP($E21,'BDEW-Standard'!$B$3:$M$158,J$9,0),7)</f>
        <v>4.8662747</v>
      </c>
      <c r="K21" s="279">
        <f>ROUND(VLOOKUP($E21,'BDEW-Standard'!$B$3:$M$158,K$9,0),7)</f>
        <v>0.68110420000000005</v>
      </c>
      <c r="L21" s="280">
        <f>ROUND(VLOOKUP($E21,'BDEW-Standard'!$B$3:$M$158,L$9,0),1)</f>
        <v>40</v>
      </c>
      <c r="M21" s="279">
        <f>ROUND(VLOOKUP($E21,'BDEW-Standard'!$B$3:$M$158,M$9,0),7)</f>
        <v>0</v>
      </c>
      <c r="N21" s="279">
        <f>ROUND(VLOOKUP($E21,'BDEW-Standard'!$B$3:$M$158,N$9,0),7)</f>
        <v>0</v>
      </c>
      <c r="O21" s="279">
        <f>ROUND(VLOOKUP($E21,'BDEW-Standard'!$B$3:$M$158,O$9,0),7)</f>
        <v>0</v>
      </c>
      <c r="P21" s="279">
        <f>ROUND(VLOOKUP($E21,'BDEW-Standard'!$B$3:$M$158,P$9,0),7)</f>
        <v>0</v>
      </c>
      <c r="Q21" s="281">
        <f t="shared" si="1"/>
        <v>1.0844348950990992</v>
      </c>
      <c r="R21" s="282">
        <f>ROUND(VLOOKUP(MID($E21,4,3),'Wochentag F(WT)'!$B$7:$J$22,R$9,0),4)</f>
        <v>1.2457</v>
      </c>
      <c r="S21" s="282">
        <f>ROUND(VLOOKUP(MID($E21,4,3),'Wochentag F(WT)'!$B$7:$J$22,S$9,0),4)</f>
        <v>1.2615000000000001</v>
      </c>
      <c r="T21" s="282">
        <f>ROUND(VLOOKUP(MID($E21,4,3),'Wochentag F(WT)'!$B$7:$J$22,T$9,0),4)</f>
        <v>1.2706999999999999</v>
      </c>
      <c r="U21" s="282">
        <f>ROUND(VLOOKUP(MID($E21,4,3),'Wochentag F(WT)'!$B$7:$J$22,U$9,0),4)</f>
        <v>1.2430000000000001</v>
      </c>
      <c r="V21" s="282">
        <f>ROUND(VLOOKUP(MID($E21,4,3),'Wochentag F(WT)'!$B$7:$J$22,V$9,0),4)</f>
        <v>1.1275999999999999</v>
      </c>
      <c r="W21" s="282">
        <f>ROUND(VLOOKUP(MID($E21,4,3),'Wochentag F(WT)'!$B$7:$J$22,W$9,0),4)</f>
        <v>0.38769999999999999</v>
      </c>
      <c r="X21" s="283">
        <f t="shared" si="2"/>
        <v>0.46379999999999999</v>
      </c>
      <c r="Y21" s="304"/>
      <c r="Z21" s="213"/>
    </row>
    <row r="22" spans="2:26" s="144" customFormat="1">
      <c r="B22" s="145">
        <v>11</v>
      </c>
      <c r="C22" s="146" t="str">
        <f t="shared" si="0"/>
        <v>SWNEUSTRELITZ</v>
      </c>
      <c r="D22" s="63" t="s">
        <v>248</v>
      </c>
      <c r="E22" s="166" t="s">
        <v>665</v>
      </c>
      <c r="F22" s="308" t="str">
        <f>VLOOKUP($E22,'BDEW-Standard'!$B$3:$M$158,F$9,0)</f>
        <v>HD4</v>
      </c>
      <c r="H22" s="279">
        <f>ROUND(VLOOKUP($E22,'BDEW-Standard'!$B$3:$M$158,H$9,0),7)</f>
        <v>3.0084346000000002</v>
      </c>
      <c r="I22" s="279">
        <f>ROUND(VLOOKUP($E22,'BDEW-Standard'!$B$3:$M$158,I$9,0),7)</f>
        <v>-36.607845300000001</v>
      </c>
      <c r="J22" s="279">
        <f>ROUND(VLOOKUP($E22,'BDEW-Standard'!$B$3:$M$158,J$9,0),7)</f>
        <v>7.3211870000000001</v>
      </c>
      <c r="K22" s="279">
        <f>ROUND(VLOOKUP($E22,'BDEW-Standard'!$B$3:$M$158,K$9,0),7)</f>
        <v>0.15496599999999999</v>
      </c>
      <c r="L22" s="280">
        <f>ROUND(VLOOKUP($E22,'BDEW-Standard'!$B$3:$M$158,L$9,0),1)</f>
        <v>40</v>
      </c>
      <c r="M22" s="279">
        <f>ROUND(VLOOKUP($E22,'BDEW-Standard'!$B$3:$M$158,M$9,0),7)</f>
        <v>0</v>
      </c>
      <c r="N22" s="279">
        <f>ROUND(VLOOKUP($E22,'BDEW-Standard'!$B$3:$M$158,N$9,0),7)</f>
        <v>0</v>
      </c>
      <c r="O22" s="279">
        <f>ROUND(VLOOKUP($E22,'BDEW-Standard'!$B$3:$M$158,O$9,0),7)</f>
        <v>0</v>
      </c>
      <c r="P22" s="279">
        <f>ROUND(VLOOKUP($E22,'BDEW-Standard'!$B$3:$M$158,P$9,0),7)</f>
        <v>0</v>
      </c>
      <c r="Q22" s="281">
        <f t="shared" si="1"/>
        <v>0.97302438504000599</v>
      </c>
      <c r="R22" s="282">
        <f>ROUND(VLOOKUP(MID($E22,4,3),'Wochentag F(WT)'!$B$7:$J$22,R$9,0),4)</f>
        <v>1.03</v>
      </c>
      <c r="S22" s="282">
        <f>ROUND(VLOOKUP(MID($E22,4,3),'Wochentag F(WT)'!$B$7:$J$22,S$9,0),4)</f>
        <v>1.03</v>
      </c>
      <c r="T22" s="282">
        <f>ROUND(VLOOKUP(MID($E22,4,3),'Wochentag F(WT)'!$B$7:$J$22,T$9,0),4)</f>
        <v>1.02</v>
      </c>
      <c r="U22" s="282">
        <f>ROUND(VLOOKUP(MID($E22,4,3),'Wochentag F(WT)'!$B$7:$J$22,U$9,0),4)</f>
        <v>1.03</v>
      </c>
      <c r="V22" s="282">
        <f>ROUND(VLOOKUP(MID($E22,4,3),'Wochentag F(WT)'!$B$7:$J$22,V$9,0),4)</f>
        <v>1.01</v>
      </c>
      <c r="W22" s="282">
        <f>ROUND(VLOOKUP(MID($E22,4,3),'Wochentag F(WT)'!$B$7:$J$22,W$9,0),4)</f>
        <v>0.93</v>
      </c>
      <c r="X22" s="283">
        <f t="shared" si="2"/>
        <v>0.95000000000000018</v>
      </c>
      <c r="Y22" s="304"/>
      <c r="Z22" s="213"/>
    </row>
    <row r="23" spans="2:26" s="144" customFormat="1">
      <c r="B23" s="145">
        <v>12</v>
      </c>
      <c r="C23" s="146" t="str">
        <f t="shared" si="0"/>
        <v>SWNEUSTRELITZ</v>
      </c>
      <c r="D23" s="63" t="s">
        <v>248</v>
      </c>
      <c r="E23" s="166" t="s">
        <v>666</v>
      </c>
      <c r="F23" s="308" t="str">
        <f>VLOOKUP($E23,'BDEW-Standard'!$B$3:$M$158,F$9,0)</f>
        <v>GB4</v>
      </c>
      <c r="H23" s="279">
        <f>ROUND(VLOOKUP($E23,'BDEW-Standard'!$B$3:$M$158,H$9,0),7)</f>
        <v>3.6017736</v>
      </c>
      <c r="I23" s="279">
        <f>ROUND(VLOOKUP($E23,'BDEW-Standard'!$B$3:$M$158,I$9,0),7)</f>
        <v>-37.882536799999997</v>
      </c>
      <c r="J23" s="279">
        <f>ROUND(VLOOKUP($E23,'BDEW-Standard'!$B$3:$M$158,J$9,0),7)</f>
        <v>6.9836070000000001</v>
      </c>
      <c r="K23" s="279">
        <f>ROUND(VLOOKUP($E23,'BDEW-Standard'!$B$3:$M$158,K$9,0),7)</f>
        <v>5.4826199999999999E-2</v>
      </c>
      <c r="L23" s="280">
        <f>ROUND(VLOOKUP($E23,'BDEW-Standard'!$B$3:$M$158,L$9,0),1)</f>
        <v>40</v>
      </c>
      <c r="M23" s="279">
        <f>ROUND(VLOOKUP($E23,'BDEW-Standard'!$B$3:$M$158,M$9,0),7)</f>
        <v>0</v>
      </c>
      <c r="N23" s="279">
        <f>ROUND(VLOOKUP($E23,'BDEW-Standard'!$B$3:$M$158,N$9,0),7)</f>
        <v>0</v>
      </c>
      <c r="O23" s="279">
        <f>ROUND(VLOOKUP($E23,'BDEW-Standard'!$B$3:$M$158,O$9,0),7)</f>
        <v>0</v>
      </c>
      <c r="P23" s="279">
        <f>ROUND(VLOOKUP($E23,'BDEW-Standard'!$B$3:$M$158,P$9,0),7)</f>
        <v>0</v>
      </c>
      <c r="Q23" s="281">
        <f t="shared" si="1"/>
        <v>0.90239375975311864</v>
      </c>
      <c r="R23" s="282">
        <f>ROUND(VLOOKUP(MID($E23,4,3),'Wochentag F(WT)'!$B$7:$J$22,R$9,0),4)</f>
        <v>0.98970000000000002</v>
      </c>
      <c r="S23" s="282">
        <f>ROUND(VLOOKUP(MID($E23,4,3),'Wochentag F(WT)'!$B$7:$J$22,S$9,0),4)</f>
        <v>0.9627</v>
      </c>
      <c r="T23" s="282">
        <f>ROUND(VLOOKUP(MID($E23,4,3),'Wochentag F(WT)'!$B$7:$J$22,T$9,0),4)</f>
        <v>1.0507</v>
      </c>
      <c r="U23" s="282">
        <f>ROUND(VLOOKUP(MID($E23,4,3),'Wochentag F(WT)'!$B$7:$J$22,U$9,0),4)</f>
        <v>1.0551999999999999</v>
      </c>
      <c r="V23" s="282">
        <f>ROUND(VLOOKUP(MID($E23,4,3),'Wochentag F(WT)'!$B$7:$J$22,V$9,0),4)</f>
        <v>1.0297000000000001</v>
      </c>
      <c r="W23" s="282">
        <f>ROUND(VLOOKUP(MID($E23,4,3),'Wochentag F(WT)'!$B$7:$J$22,W$9,0),4)</f>
        <v>0.97670000000000001</v>
      </c>
      <c r="X23" s="283">
        <f t="shared" si="2"/>
        <v>0.9352999999999998</v>
      </c>
      <c r="Y23" s="304"/>
      <c r="Z23" s="213"/>
    </row>
    <row r="24" spans="2:26" s="144" customFormat="1">
      <c r="B24" s="145">
        <v>13</v>
      </c>
      <c r="C24" s="146" t="str">
        <f t="shared" si="0"/>
        <v>SWNEUSTRELITZ</v>
      </c>
      <c r="D24" s="63" t="s">
        <v>248</v>
      </c>
      <c r="E24" s="166" t="s">
        <v>667</v>
      </c>
      <c r="F24" s="308" t="str">
        <f>VLOOKUP($E24,'BDEW-Standard'!$B$3:$M$158,F$9,0)</f>
        <v>PD4</v>
      </c>
      <c r="H24" s="279">
        <f>ROUND(VLOOKUP($E24,'BDEW-Standard'!$B$3:$M$158,H$9,0),7)</f>
        <v>3.85</v>
      </c>
      <c r="I24" s="279">
        <f>ROUND(VLOOKUP($E24,'BDEW-Standard'!$B$3:$M$158,I$9,0),7)</f>
        <v>-37</v>
      </c>
      <c r="J24" s="279">
        <f>ROUND(VLOOKUP($E24,'BDEW-Standard'!$B$3:$M$158,J$9,0),7)</f>
        <v>10.2405021</v>
      </c>
      <c r="K24" s="279">
        <f>ROUND(VLOOKUP($E24,'BDEW-Standard'!$B$3:$M$158,K$9,0),7)</f>
        <v>4.6924300000000002E-2</v>
      </c>
      <c r="L24" s="280">
        <f>ROUND(VLOOKUP($E24,'BDEW-Standard'!$B$3:$M$158,L$9,0),1)</f>
        <v>40</v>
      </c>
      <c r="M24" s="279">
        <f>ROUND(VLOOKUP($E24,'BDEW-Standard'!$B$3:$M$158,M$9,0),7)</f>
        <v>0</v>
      </c>
      <c r="N24" s="279">
        <f>ROUND(VLOOKUP($E24,'BDEW-Standard'!$B$3:$M$158,N$9,0),7)</f>
        <v>0</v>
      </c>
      <c r="O24" s="279">
        <f>ROUND(VLOOKUP($E24,'BDEW-Standard'!$B$3:$M$158,O$9,0),7)</f>
        <v>0</v>
      </c>
      <c r="P24" s="279">
        <f>ROUND(VLOOKUP($E24,'BDEW-Standard'!$B$3:$M$158,P$9,0),7)</f>
        <v>0</v>
      </c>
      <c r="Q24" s="281">
        <f t="shared" si="1"/>
        <v>0.75691065279879233</v>
      </c>
      <c r="R24" s="282">
        <f>ROUND(VLOOKUP(MID($E24,4,3),'Wochentag F(WT)'!$B$7:$J$22,R$9,0),4)</f>
        <v>1.0214000000000001</v>
      </c>
      <c r="S24" s="282">
        <f>ROUND(VLOOKUP(MID($E24,4,3),'Wochentag F(WT)'!$B$7:$J$22,S$9,0),4)</f>
        <v>1.0866</v>
      </c>
      <c r="T24" s="282">
        <f>ROUND(VLOOKUP(MID($E24,4,3),'Wochentag F(WT)'!$B$7:$J$22,T$9,0),4)</f>
        <v>1.0720000000000001</v>
      </c>
      <c r="U24" s="282">
        <f>ROUND(VLOOKUP(MID($E24,4,3),'Wochentag F(WT)'!$B$7:$J$22,U$9,0),4)</f>
        <v>1.0557000000000001</v>
      </c>
      <c r="V24" s="282">
        <f>ROUND(VLOOKUP(MID($E24,4,3),'Wochentag F(WT)'!$B$7:$J$22,V$9,0),4)</f>
        <v>1.0117</v>
      </c>
      <c r="W24" s="282">
        <f>ROUND(VLOOKUP(MID($E24,4,3),'Wochentag F(WT)'!$B$7:$J$22,W$9,0),4)</f>
        <v>0.90010000000000001</v>
      </c>
      <c r="X24" s="283">
        <f t="shared" si="2"/>
        <v>0.85249999999999915</v>
      </c>
      <c r="Y24" s="304"/>
      <c r="Z24" s="213"/>
    </row>
    <row r="25" spans="2:26" s="144" customFormat="1">
      <c r="B25" s="145">
        <v>14</v>
      </c>
      <c r="C25" s="146" t="str">
        <f t="shared" si="0"/>
        <v>SWNEUSTRELITZ</v>
      </c>
      <c r="D25" s="63" t="s">
        <v>248</v>
      </c>
      <c r="E25" s="166" t="s">
        <v>676</v>
      </c>
      <c r="F25" s="308" t="str">
        <f>VLOOKUP($E25,'BDEW-Standard'!$B$3:$M$158,F$9,0)</f>
        <v>MF4</v>
      </c>
      <c r="H25" s="279">
        <f>ROUND(VLOOKUP($E25,'BDEW-Standard'!$B$3:$M$158,H$9,0),7)</f>
        <v>2.5187775000000001</v>
      </c>
      <c r="I25" s="279">
        <f>ROUND(VLOOKUP($E25,'BDEW-Standard'!$B$3:$M$158,I$9,0),7)</f>
        <v>-35.033375399999997</v>
      </c>
      <c r="J25" s="279">
        <f>ROUND(VLOOKUP($E25,'BDEW-Standard'!$B$3:$M$158,J$9,0),7)</f>
        <v>6.2240634000000004</v>
      </c>
      <c r="K25" s="279">
        <f>ROUND(VLOOKUP($E25,'BDEW-Standard'!$B$3:$M$158,K$9,0),7)</f>
        <v>0.10107820000000001</v>
      </c>
      <c r="L25" s="280">
        <f>ROUND(VLOOKUP($E25,'BDEW-Standard'!$B$3:$M$158,L$9,0),1)</f>
        <v>40</v>
      </c>
      <c r="M25" s="279">
        <f>ROUND(VLOOKUP($E25,'BDEW-Standard'!$B$3:$M$158,M$9,0),7)</f>
        <v>0</v>
      </c>
      <c r="N25" s="279">
        <f>ROUND(VLOOKUP($E25,'BDEW-Standard'!$B$3:$M$158,N$9,0),7)</f>
        <v>0</v>
      </c>
      <c r="O25" s="279">
        <f>ROUND(VLOOKUP($E25,'BDEW-Standard'!$B$3:$M$158,O$9,0),7)</f>
        <v>0</v>
      </c>
      <c r="P25" s="279">
        <f>ROUND(VLOOKUP($E25,'BDEW-Standard'!$B$3:$M$158,P$9,0),7)</f>
        <v>0</v>
      </c>
      <c r="Q25" s="281">
        <f t="shared" si="1"/>
        <v>1.0146273685996503</v>
      </c>
      <c r="R25" s="282">
        <f>ROUND(VLOOKUP(MID($E25,4,3),'Wochentag F(WT)'!$B$7:$J$22,R$9,0),4)</f>
        <v>1.0354000000000001</v>
      </c>
      <c r="S25" s="282">
        <f>ROUND(VLOOKUP(MID($E25,4,3),'Wochentag F(WT)'!$B$7:$J$22,S$9,0),4)</f>
        <v>1.0523</v>
      </c>
      <c r="T25" s="282">
        <f>ROUND(VLOOKUP(MID($E25,4,3),'Wochentag F(WT)'!$B$7:$J$22,T$9,0),4)</f>
        <v>1.0448999999999999</v>
      </c>
      <c r="U25" s="282">
        <f>ROUND(VLOOKUP(MID($E25,4,3),'Wochentag F(WT)'!$B$7:$J$22,U$9,0),4)</f>
        <v>1.0494000000000001</v>
      </c>
      <c r="V25" s="282">
        <f>ROUND(VLOOKUP(MID($E25,4,3),'Wochentag F(WT)'!$B$7:$J$22,V$9,0),4)</f>
        <v>0.98850000000000005</v>
      </c>
      <c r="W25" s="282">
        <f>ROUND(VLOOKUP(MID($E25,4,3),'Wochentag F(WT)'!$B$7:$J$22,W$9,0),4)</f>
        <v>0.88600000000000001</v>
      </c>
      <c r="X25" s="283">
        <f t="shared" ref="X25:X26" si="3">7-SUM(R25:W25)</f>
        <v>0.94349999999999934</v>
      </c>
      <c r="Y25" s="304"/>
      <c r="Z25" s="213"/>
    </row>
    <row r="26" spans="2:26" s="144" customFormat="1">
      <c r="B26" s="145">
        <v>15</v>
      </c>
      <c r="C26" s="146" t="str">
        <f t="shared" si="0"/>
        <v>SWNEUSTRELITZ</v>
      </c>
      <c r="D26" s="63" t="s">
        <v>248</v>
      </c>
      <c r="E26" s="166" t="s">
        <v>677</v>
      </c>
      <c r="F26" s="308" t="str">
        <f>VLOOKUP($E26,'BDEW-Standard'!$B$3:$M$158,F$9,0)</f>
        <v>BA4</v>
      </c>
      <c r="H26" s="279">
        <f>ROUND(VLOOKUP($E26,'BDEW-Standard'!$B$3:$M$158,H$9,0),7)</f>
        <v>0.93158890000000005</v>
      </c>
      <c r="I26" s="279">
        <f>ROUND(VLOOKUP($E26,'BDEW-Standard'!$B$3:$M$158,I$9,0),7)</f>
        <v>-33.35</v>
      </c>
      <c r="J26" s="279">
        <f>ROUND(VLOOKUP($E26,'BDEW-Standard'!$B$3:$M$158,J$9,0),7)</f>
        <v>5.7212303000000002</v>
      </c>
      <c r="K26" s="279">
        <f>ROUND(VLOOKUP($E26,'BDEW-Standard'!$B$3:$M$158,K$9,0),7)</f>
        <v>0.66564939999999995</v>
      </c>
      <c r="L26" s="280">
        <f>ROUND(VLOOKUP($E26,'BDEW-Standard'!$B$3:$M$158,L$9,0),1)</f>
        <v>40</v>
      </c>
      <c r="M26" s="279">
        <f>ROUND(VLOOKUP($E26,'BDEW-Standard'!$B$3:$M$158,M$9,0),7)</f>
        <v>0</v>
      </c>
      <c r="N26" s="279">
        <f>ROUND(VLOOKUP($E26,'BDEW-Standard'!$B$3:$M$158,N$9,0),7)</f>
        <v>0</v>
      </c>
      <c r="O26" s="279">
        <f>ROUND(VLOOKUP($E26,'BDEW-Standard'!$B$3:$M$158,O$9,0),7)</f>
        <v>0</v>
      </c>
      <c r="P26" s="279">
        <f>ROUND(VLOOKUP($E26,'BDEW-Standard'!$B$3:$M$158,P$9,0),7)</f>
        <v>0</v>
      </c>
      <c r="Q26" s="281">
        <f t="shared" si="1"/>
        <v>1.0766391850538448</v>
      </c>
      <c r="R26" s="282">
        <f>ROUND(VLOOKUP(MID($E26,4,3),'Wochentag F(WT)'!$B$7:$J$22,R$9,0),4)</f>
        <v>1.0848</v>
      </c>
      <c r="S26" s="282">
        <f>ROUND(VLOOKUP(MID($E26,4,3),'Wochentag F(WT)'!$B$7:$J$22,S$9,0),4)</f>
        <v>1.1211</v>
      </c>
      <c r="T26" s="282">
        <f>ROUND(VLOOKUP(MID($E26,4,3),'Wochentag F(WT)'!$B$7:$J$22,T$9,0),4)</f>
        <v>1.0769</v>
      </c>
      <c r="U26" s="282">
        <f>ROUND(VLOOKUP(MID($E26,4,3),'Wochentag F(WT)'!$B$7:$J$22,U$9,0),4)</f>
        <v>1.1353</v>
      </c>
      <c r="V26" s="282">
        <f>ROUND(VLOOKUP(MID($E26,4,3),'Wochentag F(WT)'!$B$7:$J$22,V$9,0),4)</f>
        <v>1.1402000000000001</v>
      </c>
      <c r="W26" s="282">
        <f>ROUND(VLOOKUP(MID($E26,4,3),'Wochentag F(WT)'!$B$7:$J$22,W$9,0),4)</f>
        <v>0.48520000000000002</v>
      </c>
      <c r="X26" s="283">
        <f t="shared" si="3"/>
        <v>0.95650000000000013</v>
      </c>
      <c r="Y26" s="304"/>
      <c r="Z26" s="213"/>
    </row>
    <row r="27" spans="2:26" s="144" customFormat="1">
      <c r="B27" s="145">
        <v>16</v>
      </c>
      <c r="C27" s="146" t="str">
        <f t="shared" si="0"/>
        <v>SWNEUSTRELITZ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SWNEUSTRELITZ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SWNEUSTRELITZ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SWNEUSTRELITZ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SWNEUSTRELITZ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SWNEUSTRELITZ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SWNEUSTRELITZ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SWNEUSTRELITZ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SWNEUSTRELITZ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SWNEUSTRELITZ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SWNEUSTRELITZ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SWNEUSTRELITZ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SWNEUSTRELITZ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SWNEUSTRELITZ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SWNEUSTRELITZ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Y12:Y41 E12:F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E11:E24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E25:E41</xm:sqref>
        </x14:dataValidation>
        <x14:dataValidation type="list" allowBlank="1" showInputMessage="1" showErrorMessage="1">
          <x14:formula1>
            <xm:f>'BDEW-Standard'!$B$3:$B$94</xm:f>
          </x14:formula1>
          <xm:sqref>E25:E26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3" zoomScale="80" zoomScaleNormal="80" workbookViewId="0">
      <selection activeCell="B126" sqref="B126:H126"/>
    </sheetView>
  </sheetViews>
  <sheetFormatPr baseColWidth="10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349</v>
      </c>
      <c r="B1" s="217">
        <v>42173</v>
      </c>
      <c r="D1" s="132" t="s">
        <v>458</v>
      </c>
      <c r="F1" s="218" t="s">
        <v>552</v>
      </c>
      <c r="N1" s="219"/>
    </row>
    <row r="2" spans="1:14" ht="25.5">
      <c r="A2" s="220" t="s">
        <v>272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318</v>
      </c>
      <c r="D95" s="236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323</v>
      </c>
      <c r="D96" s="236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328</v>
      </c>
      <c r="D97" s="236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333</v>
      </c>
      <c r="D98" s="236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286</v>
      </c>
      <c r="D99" s="236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290</v>
      </c>
      <c r="D100" s="236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294</v>
      </c>
      <c r="D101" s="236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298</v>
      </c>
      <c r="D102" s="236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302</v>
      </c>
      <c r="D103" s="236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306</v>
      </c>
      <c r="D104" s="236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310</v>
      </c>
      <c r="D105" s="236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314</v>
      </c>
      <c r="D106" s="236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319</v>
      </c>
      <c r="D107" s="236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324</v>
      </c>
      <c r="D108" s="236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329</v>
      </c>
      <c r="D109" s="236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334</v>
      </c>
      <c r="D110" s="236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274</v>
      </c>
      <c r="D111" s="236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275</v>
      </c>
      <c r="D112" s="236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276</v>
      </c>
      <c r="D113" s="236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277</v>
      </c>
      <c r="D114" s="236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287</v>
      </c>
      <c r="D115" s="236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291</v>
      </c>
      <c r="D116" s="236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295</v>
      </c>
      <c r="D117" s="236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299</v>
      </c>
      <c r="D118" s="236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278</v>
      </c>
      <c r="D119" s="236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280</v>
      </c>
      <c r="D120" s="236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282</v>
      </c>
      <c r="D121" s="236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284</v>
      </c>
      <c r="D122" s="236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320</v>
      </c>
      <c r="D123" s="236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325</v>
      </c>
      <c r="D124" s="236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330</v>
      </c>
      <c r="D125" s="236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335</v>
      </c>
      <c r="D126" s="236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288</v>
      </c>
      <c r="D127" s="236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292</v>
      </c>
      <c r="D128" s="236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296</v>
      </c>
      <c r="D129" s="236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300</v>
      </c>
      <c r="D130" s="236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289</v>
      </c>
      <c r="D131" s="236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293</v>
      </c>
      <c r="D132" s="236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297</v>
      </c>
      <c r="D133" s="236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301</v>
      </c>
      <c r="D134" s="236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303</v>
      </c>
      <c r="D135" s="236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307</v>
      </c>
      <c r="D136" s="236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311</v>
      </c>
      <c r="D137" s="236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315</v>
      </c>
      <c r="D138" s="236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304</v>
      </c>
      <c r="D139" s="236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308</v>
      </c>
      <c r="D140" s="236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312</v>
      </c>
      <c r="D141" s="236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316</v>
      </c>
      <c r="D142" s="236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279</v>
      </c>
      <c r="D143" s="236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281</v>
      </c>
      <c r="D144" s="236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283</v>
      </c>
      <c r="D145" s="236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285</v>
      </c>
      <c r="D146" s="236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305</v>
      </c>
      <c r="D147" s="236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309</v>
      </c>
      <c r="D148" s="236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313</v>
      </c>
      <c r="D149" s="236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317</v>
      </c>
      <c r="D150" s="236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321</v>
      </c>
      <c r="D151" s="236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326</v>
      </c>
      <c r="D152" s="236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331</v>
      </c>
      <c r="D153" s="236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336</v>
      </c>
      <c r="D154" s="236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322</v>
      </c>
      <c r="D155" s="236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327</v>
      </c>
      <c r="D156" s="236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332</v>
      </c>
      <c r="D157" s="236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337</v>
      </c>
      <c r="D158" s="236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F7" sqref="F7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6.855468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450</v>
      </c>
    </row>
    <row r="3" spans="2:30" ht="15" customHeight="1">
      <c r="B3" s="85"/>
    </row>
    <row r="4" spans="2:30" ht="15" customHeight="1">
      <c r="B4" s="86" t="s">
        <v>449</v>
      </c>
      <c r="C4" s="64" t="str">
        <f>Netzbetreiber!$D$9</f>
        <v>Stadtwerke Neustrelitz GmbH</v>
      </c>
      <c r="D4" s="77"/>
      <c r="G4" s="77"/>
      <c r="I4" s="77"/>
      <c r="J4" s="78"/>
      <c r="M4" s="87" t="s">
        <v>546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448</v>
      </c>
      <c r="C5" s="65" t="str">
        <f>Netzbetreiber!D28</f>
        <v>SWNEUSTRELITZ</v>
      </c>
      <c r="D5" s="37"/>
      <c r="E5" s="77"/>
      <c r="F5" s="77"/>
      <c r="G5" s="77"/>
      <c r="I5" s="77"/>
      <c r="J5" s="77"/>
      <c r="K5" s="77"/>
      <c r="L5" s="77"/>
      <c r="M5" s="89" t="s">
        <v>514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446</v>
      </c>
      <c r="C6" s="358">
        <f>Netzbetreiber!$D$11</f>
        <v>9870109900000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42278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6" t="s">
        <v>462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471</v>
      </c>
      <c r="N9" s="92" t="s">
        <v>374</v>
      </c>
      <c r="O9" s="93" t="s">
        <v>375</v>
      </c>
      <c r="P9" s="93" t="s">
        <v>376</v>
      </c>
      <c r="Q9" s="93" t="s">
        <v>377</v>
      </c>
      <c r="R9" s="93" t="s">
        <v>378</v>
      </c>
      <c r="S9" s="93" t="s">
        <v>379</v>
      </c>
      <c r="T9" s="93" t="s">
        <v>380</v>
      </c>
      <c r="U9" s="93" t="s">
        <v>381</v>
      </c>
      <c r="V9" s="93" t="s">
        <v>382</v>
      </c>
      <c r="W9" s="93" t="s">
        <v>383</v>
      </c>
      <c r="X9" s="93" t="s">
        <v>384</v>
      </c>
      <c r="Y9" s="93" t="s">
        <v>385</v>
      </c>
      <c r="Z9" s="93" t="s">
        <v>386</v>
      </c>
      <c r="AA9" s="93" t="s">
        <v>387</v>
      </c>
      <c r="AB9" s="93" t="s">
        <v>388</v>
      </c>
      <c r="AC9" s="94" t="s">
        <v>389</v>
      </c>
      <c r="AD9" s="94" t="s">
        <v>431</v>
      </c>
    </row>
    <row r="10" spans="2:30" ht="72" customHeight="1" thickBot="1">
      <c r="B10" s="351" t="s">
        <v>590</v>
      </c>
      <c r="C10" s="352"/>
      <c r="D10" s="95">
        <v>2</v>
      </c>
      <c r="E10" s="96" t="str">
        <f>IF(ISERROR(HLOOKUP(E$11,$M$9:$AD$33,$D10,0)),"",HLOOKUP(E$11,$M$9:$AD$33,$D10,0))</f>
        <v/>
      </c>
      <c r="F10" s="349" t="s">
        <v>400</v>
      </c>
      <c r="G10" s="349"/>
      <c r="H10" s="349"/>
      <c r="I10" s="349"/>
      <c r="J10" s="349"/>
      <c r="K10" s="349"/>
      <c r="L10" s="350"/>
      <c r="M10" s="97" t="s">
        <v>472</v>
      </c>
      <c r="N10" s="98" t="s">
        <v>473</v>
      </c>
      <c r="O10" s="99" t="s">
        <v>474</v>
      </c>
      <c r="P10" s="100" t="s">
        <v>475</v>
      </c>
      <c r="Q10" s="100" t="s">
        <v>476</v>
      </c>
      <c r="R10" s="100" t="s">
        <v>477</v>
      </c>
      <c r="S10" s="100" t="s">
        <v>478</v>
      </c>
      <c r="T10" s="100" t="s">
        <v>479</v>
      </c>
      <c r="U10" s="100" t="s">
        <v>480</v>
      </c>
      <c r="V10" s="100" t="s">
        <v>481</v>
      </c>
      <c r="W10" s="100" t="s">
        <v>482</v>
      </c>
      <c r="X10" s="100" t="s">
        <v>483</v>
      </c>
      <c r="Y10" s="100" t="s">
        <v>484</v>
      </c>
      <c r="Z10" s="100" t="s">
        <v>485</v>
      </c>
      <c r="AA10" s="100" t="s">
        <v>486</v>
      </c>
      <c r="AB10" s="100" t="s">
        <v>487</v>
      </c>
      <c r="AC10" s="101" t="s">
        <v>488</v>
      </c>
      <c r="AD10" s="102" t="s">
        <v>432</v>
      </c>
    </row>
    <row r="11" spans="2:30" ht="15.75" thickBot="1">
      <c r="B11" s="103" t="s">
        <v>423</v>
      </c>
      <c r="C11" s="104"/>
      <c r="D11" s="105">
        <v>3</v>
      </c>
      <c r="E11" s="106"/>
      <c r="F11" s="107" t="s">
        <v>391</v>
      </c>
      <c r="G11" s="108" t="s">
        <v>392</v>
      </c>
      <c r="H11" s="108" t="s">
        <v>393</v>
      </c>
      <c r="I11" s="108" t="s">
        <v>394</v>
      </c>
      <c r="J11" s="108" t="s">
        <v>395</v>
      </c>
      <c r="K11" s="108" t="s">
        <v>396</v>
      </c>
      <c r="L11" s="109" t="s">
        <v>397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401</v>
      </c>
      <c r="C12" s="111"/>
      <c r="D12" s="112">
        <v>4</v>
      </c>
      <c r="E12" s="315">
        <f>MIN(SUMPRODUCT($M$11:$AD$11,M12:AD12),1)</f>
        <v>1</v>
      </c>
      <c r="F12" s="312" t="s">
        <v>397</v>
      </c>
      <c r="G12" s="79" t="s">
        <v>397</v>
      </c>
      <c r="H12" s="79" t="s">
        <v>397</v>
      </c>
      <c r="I12" s="79" t="s">
        <v>397</v>
      </c>
      <c r="J12" s="79" t="s">
        <v>397</v>
      </c>
      <c r="K12" s="79" t="s">
        <v>397</v>
      </c>
      <c r="L12" s="80" t="s">
        <v>397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402</v>
      </c>
      <c r="C13" s="118"/>
      <c r="D13" s="112">
        <v>5</v>
      </c>
      <c r="E13" s="316">
        <f t="shared" ref="E13:E33" si="0">MIN(SUMPRODUCT($M$11:$AD$11,M13:AD13),1)</f>
        <v>0</v>
      </c>
      <c r="F13" s="313" t="s">
        <v>397</v>
      </c>
      <c r="G13" s="81" t="s">
        <v>397</v>
      </c>
      <c r="H13" s="81" t="s">
        <v>397</v>
      </c>
      <c r="I13" s="81" t="s">
        <v>397</v>
      </c>
      <c r="J13" s="81" t="s">
        <v>397</v>
      </c>
      <c r="K13" s="81" t="s">
        <v>397</v>
      </c>
      <c r="L13" s="82" t="s">
        <v>397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403</v>
      </c>
      <c r="C14" s="118"/>
      <c r="D14" s="112">
        <v>6</v>
      </c>
      <c r="E14" s="316">
        <f t="shared" si="0"/>
        <v>0</v>
      </c>
      <c r="F14" s="313" t="s">
        <v>397</v>
      </c>
      <c r="G14" s="81" t="s">
        <v>404</v>
      </c>
      <c r="H14" s="81" t="s">
        <v>404</v>
      </c>
      <c r="I14" s="81" t="s">
        <v>404</v>
      </c>
      <c r="J14" s="81" t="s">
        <v>404</v>
      </c>
      <c r="K14" s="81" t="s">
        <v>404</v>
      </c>
      <c r="L14" s="82" t="s">
        <v>404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405</v>
      </c>
      <c r="C15" s="118"/>
      <c r="D15" s="112">
        <v>7</v>
      </c>
      <c r="E15" s="316">
        <f t="shared" si="0"/>
        <v>0</v>
      </c>
      <c r="F15" s="313" t="s">
        <v>404</v>
      </c>
      <c r="G15" s="81" t="s">
        <v>396</v>
      </c>
      <c r="H15" s="81" t="s">
        <v>404</v>
      </c>
      <c r="I15" s="81" t="s">
        <v>404</v>
      </c>
      <c r="J15" s="81" t="s">
        <v>404</v>
      </c>
      <c r="K15" s="81" t="s">
        <v>404</v>
      </c>
      <c r="L15" s="82" t="s">
        <v>404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417</v>
      </c>
      <c r="C16" s="118"/>
      <c r="D16" s="112">
        <v>8</v>
      </c>
      <c r="E16" s="316">
        <f t="shared" si="0"/>
        <v>1</v>
      </c>
      <c r="F16" s="313" t="s">
        <v>404</v>
      </c>
      <c r="G16" s="81" t="s">
        <v>404</v>
      </c>
      <c r="H16" s="81" t="s">
        <v>404</v>
      </c>
      <c r="I16" s="81" t="s">
        <v>404</v>
      </c>
      <c r="J16" s="81" t="s">
        <v>397</v>
      </c>
      <c r="K16" s="81" t="s">
        <v>404</v>
      </c>
      <c r="L16" s="82" t="s">
        <v>404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418</v>
      </c>
      <c r="C17" s="118"/>
      <c r="D17" s="112">
        <v>9</v>
      </c>
      <c r="E17" s="316">
        <f t="shared" si="0"/>
        <v>1</v>
      </c>
      <c r="F17" s="313" t="s">
        <v>404</v>
      </c>
      <c r="G17" s="81" t="s">
        <v>404</v>
      </c>
      <c r="H17" s="81" t="s">
        <v>404</v>
      </c>
      <c r="I17" s="81" t="s">
        <v>404</v>
      </c>
      <c r="J17" s="81" t="s">
        <v>404</v>
      </c>
      <c r="K17" s="81" t="s">
        <v>404</v>
      </c>
      <c r="L17" s="82" t="s">
        <v>397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419</v>
      </c>
      <c r="C18" s="118"/>
      <c r="D18" s="112">
        <v>10</v>
      </c>
      <c r="E18" s="316">
        <f t="shared" si="0"/>
        <v>1</v>
      </c>
      <c r="F18" s="313" t="s">
        <v>397</v>
      </c>
      <c r="G18" s="81" t="s">
        <v>404</v>
      </c>
      <c r="H18" s="81" t="s">
        <v>404</v>
      </c>
      <c r="I18" s="81" t="s">
        <v>404</v>
      </c>
      <c r="J18" s="81" t="s">
        <v>404</v>
      </c>
      <c r="K18" s="81" t="s">
        <v>404</v>
      </c>
      <c r="L18" s="82" t="s">
        <v>404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122" t="s">
        <v>406</v>
      </c>
      <c r="C19" s="118"/>
      <c r="D19" s="112">
        <v>11</v>
      </c>
      <c r="E19" s="316">
        <f t="shared" si="0"/>
        <v>1</v>
      </c>
      <c r="F19" s="313" t="s">
        <v>397</v>
      </c>
      <c r="G19" s="81" t="s">
        <v>397</v>
      </c>
      <c r="H19" s="81" t="s">
        <v>397</v>
      </c>
      <c r="I19" s="81" t="s">
        <v>397</v>
      </c>
      <c r="J19" s="81" t="s">
        <v>397</v>
      </c>
      <c r="K19" s="81" t="s">
        <v>397</v>
      </c>
      <c r="L19" s="82" t="s">
        <v>397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5">
      <c r="B20" s="122" t="s">
        <v>656</v>
      </c>
      <c r="C20" s="118"/>
      <c r="D20" s="112">
        <v>12</v>
      </c>
      <c r="E20" s="316">
        <f t="shared" si="0"/>
        <v>1</v>
      </c>
      <c r="F20" s="313" t="s">
        <v>404</v>
      </c>
      <c r="G20" s="81" t="s">
        <v>404</v>
      </c>
      <c r="H20" s="81" t="s">
        <v>404</v>
      </c>
      <c r="I20" s="81" t="s">
        <v>397</v>
      </c>
      <c r="J20" s="81" t="s">
        <v>404</v>
      </c>
      <c r="K20" s="81" t="s">
        <v>404</v>
      </c>
      <c r="L20" s="82" t="s">
        <v>404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420</v>
      </c>
      <c r="C21" s="118"/>
      <c r="D21" s="112">
        <v>13</v>
      </c>
      <c r="E21" s="316">
        <f t="shared" si="0"/>
        <v>1</v>
      </c>
      <c r="F21" s="313" t="s">
        <v>404</v>
      </c>
      <c r="G21" s="81" t="s">
        <v>404</v>
      </c>
      <c r="H21" s="81" t="s">
        <v>404</v>
      </c>
      <c r="I21" s="81" t="s">
        <v>404</v>
      </c>
      <c r="J21" s="81" t="s">
        <v>404</v>
      </c>
      <c r="K21" s="81" t="s">
        <v>404</v>
      </c>
      <c r="L21" s="82" t="s">
        <v>397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421</v>
      </c>
      <c r="C22" s="118"/>
      <c r="D22" s="112">
        <v>14</v>
      </c>
      <c r="E22" s="316">
        <f t="shared" si="0"/>
        <v>1</v>
      </c>
      <c r="F22" s="313" t="s">
        <v>397</v>
      </c>
      <c r="G22" s="81" t="s">
        <v>404</v>
      </c>
      <c r="H22" s="81" t="s">
        <v>404</v>
      </c>
      <c r="I22" s="81" t="s">
        <v>404</v>
      </c>
      <c r="J22" s="81" t="s">
        <v>404</v>
      </c>
      <c r="K22" s="81" t="s">
        <v>404</v>
      </c>
      <c r="L22" s="82" t="s">
        <v>404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17" t="s">
        <v>422</v>
      </c>
      <c r="C23" s="118"/>
      <c r="D23" s="112">
        <v>15</v>
      </c>
      <c r="E23" s="316">
        <f t="shared" si="0"/>
        <v>0</v>
      </c>
      <c r="F23" s="313" t="s">
        <v>404</v>
      </c>
      <c r="G23" s="81" t="s">
        <v>404</v>
      </c>
      <c r="H23" s="81" t="s">
        <v>404</v>
      </c>
      <c r="I23" s="81" t="s">
        <v>397</v>
      </c>
      <c r="J23" s="81" t="s">
        <v>404</v>
      </c>
      <c r="K23" s="81" t="s">
        <v>404</v>
      </c>
      <c r="L23" s="82" t="s">
        <v>404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5">
      <c r="B24" s="117" t="s">
        <v>407</v>
      </c>
      <c r="C24" s="118"/>
      <c r="D24" s="112">
        <v>16</v>
      </c>
      <c r="E24" s="316">
        <f t="shared" si="0"/>
        <v>0</v>
      </c>
      <c r="F24" s="313" t="s">
        <v>397</v>
      </c>
      <c r="G24" s="81" t="s">
        <v>397</v>
      </c>
      <c r="H24" s="81" t="s">
        <v>397</v>
      </c>
      <c r="I24" s="81" t="s">
        <v>397</v>
      </c>
      <c r="J24" s="81" t="s">
        <v>397</v>
      </c>
      <c r="K24" s="81" t="s">
        <v>397</v>
      </c>
      <c r="L24" s="82" t="s">
        <v>397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5">
      <c r="B25" s="117" t="s">
        <v>408</v>
      </c>
      <c r="C25" s="118"/>
      <c r="D25" s="112">
        <v>17</v>
      </c>
      <c r="E25" s="316">
        <f t="shared" si="0"/>
        <v>0</v>
      </c>
      <c r="F25" s="313" t="s">
        <v>397</v>
      </c>
      <c r="G25" s="81" t="s">
        <v>397</v>
      </c>
      <c r="H25" s="81" t="s">
        <v>397</v>
      </c>
      <c r="I25" s="81" t="s">
        <v>397</v>
      </c>
      <c r="J25" s="81" t="s">
        <v>397</v>
      </c>
      <c r="K25" s="81" t="s">
        <v>397</v>
      </c>
      <c r="L25" s="82" t="s">
        <v>397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5">
      <c r="B26" s="122" t="s">
        <v>409</v>
      </c>
      <c r="C26" s="118"/>
      <c r="D26" s="112">
        <v>18</v>
      </c>
      <c r="E26" s="316">
        <f t="shared" si="0"/>
        <v>1</v>
      </c>
      <c r="F26" s="313" t="s">
        <v>397</v>
      </c>
      <c r="G26" s="81" t="s">
        <v>397</v>
      </c>
      <c r="H26" s="81" t="s">
        <v>397</v>
      </c>
      <c r="I26" s="81" t="s">
        <v>397</v>
      </c>
      <c r="J26" s="81" t="s">
        <v>397</v>
      </c>
      <c r="K26" s="81" t="s">
        <v>397</v>
      </c>
      <c r="L26" s="82" t="s">
        <v>397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5">
      <c r="B27" s="117" t="s">
        <v>410</v>
      </c>
      <c r="C27" s="118"/>
      <c r="D27" s="112">
        <v>19</v>
      </c>
      <c r="E27" s="316">
        <f t="shared" si="0"/>
        <v>0</v>
      </c>
      <c r="F27" s="313" t="s">
        <v>397</v>
      </c>
      <c r="G27" s="81" t="s">
        <v>397</v>
      </c>
      <c r="H27" s="81" t="s">
        <v>397</v>
      </c>
      <c r="I27" s="81" t="s">
        <v>397</v>
      </c>
      <c r="J27" s="81" t="s">
        <v>397</v>
      </c>
      <c r="K27" s="81" t="s">
        <v>397</v>
      </c>
      <c r="L27" s="82" t="s">
        <v>397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5">
      <c r="B28" s="117" t="s">
        <v>411</v>
      </c>
      <c r="C28" s="118"/>
      <c r="D28" s="112">
        <v>20</v>
      </c>
      <c r="E28" s="316">
        <f t="shared" si="0"/>
        <v>0</v>
      </c>
      <c r="F28" s="313" t="s">
        <v>397</v>
      </c>
      <c r="G28" s="81" t="s">
        <v>397</v>
      </c>
      <c r="H28" s="81" t="s">
        <v>397</v>
      </c>
      <c r="I28" s="81" t="s">
        <v>397</v>
      </c>
      <c r="J28" s="81" t="s">
        <v>397</v>
      </c>
      <c r="K28" s="81" t="s">
        <v>397</v>
      </c>
      <c r="L28" s="82" t="s">
        <v>397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5">
      <c r="B29" s="117" t="s">
        <v>412</v>
      </c>
      <c r="C29" s="118"/>
      <c r="D29" s="112">
        <v>21</v>
      </c>
      <c r="E29" s="316">
        <f t="shared" si="0"/>
        <v>0</v>
      </c>
      <c r="F29" s="313" t="s">
        <v>404</v>
      </c>
      <c r="G29" s="81" t="s">
        <v>404</v>
      </c>
      <c r="H29" s="81" t="s">
        <v>397</v>
      </c>
      <c r="I29" s="81" t="s">
        <v>404</v>
      </c>
      <c r="J29" s="81" t="s">
        <v>404</v>
      </c>
      <c r="K29" s="81" t="s">
        <v>404</v>
      </c>
      <c r="L29" s="82" t="s">
        <v>404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5">
      <c r="B30" s="117" t="s">
        <v>413</v>
      </c>
      <c r="C30" s="118"/>
      <c r="D30" s="112">
        <v>22</v>
      </c>
      <c r="E30" s="316">
        <f t="shared" si="0"/>
        <v>0</v>
      </c>
      <c r="F30" s="313" t="s">
        <v>396</v>
      </c>
      <c r="G30" s="81" t="s">
        <v>396</v>
      </c>
      <c r="H30" s="81" t="s">
        <v>396</v>
      </c>
      <c r="I30" s="81" t="s">
        <v>396</v>
      </c>
      <c r="J30" s="81" t="s">
        <v>396</v>
      </c>
      <c r="K30" s="81" t="s">
        <v>396</v>
      </c>
      <c r="L30" s="82" t="s">
        <v>397</v>
      </c>
      <c r="M30" s="113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5">
      <c r="B31" s="122" t="s">
        <v>414</v>
      </c>
      <c r="C31" s="118"/>
      <c r="D31" s="112">
        <v>23</v>
      </c>
      <c r="E31" s="316">
        <f t="shared" si="0"/>
        <v>1</v>
      </c>
      <c r="F31" s="313" t="s">
        <v>397</v>
      </c>
      <c r="G31" s="81" t="s">
        <v>397</v>
      </c>
      <c r="H31" s="81" t="s">
        <v>397</v>
      </c>
      <c r="I31" s="81" t="s">
        <v>397</v>
      </c>
      <c r="J31" s="81" t="s">
        <v>397</v>
      </c>
      <c r="K31" s="81" t="s">
        <v>397</v>
      </c>
      <c r="L31" s="82" t="s">
        <v>397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5">
      <c r="B32" s="122" t="s">
        <v>415</v>
      </c>
      <c r="C32" s="118"/>
      <c r="D32" s="112">
        <v>24</v>
      </c>
      <c r="E32" s="316">
        <f t="shared" si="0"/>
        <v>1</v>
      </c>
      <c r="F32" s="313" t="s">
        <v>397</v>
      </c>
      <c r="G32" s="81" t="s">
        <v>397</v>
      </c>
      <c r="H32" s="81" t="s">
        <v>397</v>
      </c>
      <c r="I32" s="81" t="s">
        <v>397</v>
      </c>
      <c r="J32" s="81" t="s">
        <v>397</v>
      </c>
      <c r="K32" s="81" t="s">
        <v>397</v>
      </c>
      <c r="L32" s="82" t="s">
        <v>397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.75" thickBot="1">
      <c r="B33" s="123" t="s">
        <v>416</v>
      </c>
      <c r="C33" s="124"/>
      <c r="D33" s="125">
        <v>25</v>
      </c>
      <c r="E33" s="317">
        <f t="shared" si="0"/>
        <v>0</v>
      </c>
      <c r="F33" s="314" t="s">
        <v>396</v>
      </c>
      <c r="G33" s="83" t="s">
        <v>396</v>
      </c>
      <c r="H33" s="83" t="s">
        <v>396</v>
      </c>
      <c r="I33" s="83" t="s">
        <v>396</v>
      </c>
      <c r="J33" s="83" t="s">
        <v>396</v>
      </c>
      <c r="K33" s="83" t="s">
        <v>396</v>
      </c>
      <c r="L33" s="84" t="s">
        <v>397</v>
      </c>
      <c r="M33" s="113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459</v>
      </c>
      <c r="B1" s="129"/>
      <c r="D1" s="218" t="s">
        <v>552</v>
      </c>
    </row>
    <row r="2" spans="1:16">
      <c r="A2" s="238"/>
      <c r="B2" s="237" t="s">
        <v>460</v>
      </c>
    </row>
    <row r="3" spans="1:16" ht="20.100000000000001" customHeight="1">
      <c r="A3" s="353" t="s">
        <v>249</v>
      </c>
      <c r="B3" s="239" t="s">
        <v>86</v>
      </c>
      <c r="C3" s="240"/>
      <c r="D3" s="355" t="s">
        <v>461</v>
      </c>
      <c r="E3" s="356"/>
      <c r="F3" s="356"/>
      <c r="G3" s="356"/>
      <c r="H3" s="356"/>
      <c r="I3" s="356"/>
      <c r="J3" s="357"/>
      <c r="K3" s="241"/>
      <c r="L3" s="241"/>
      <c r="M3" s="241"/>
      <c r="N3" s="241"/>
      <c r="O3" s="242"/>
      <c r="P3" s="241"/>
    </row>
    <row r="4" spans="1:16" ht="20.100000000000001" customHeight="1">
      <c r="A4" s="354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370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370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Werner, Andy</cp:lastModifiedBy>
  <cp:lastPrinted>2015-03-20T22:59:10Z</cp:lastPrinted>
  <dcterms:created xsi:type="dcterms:W3CDTF">2015-01-15T05:25:41Z</dcterms:created>
  <dcterms:modified xsi:type="dcterms:W3CDTF">2015-09-24T13:59:24Z</dcterms:modified>
</cp:coreProperties>
</file>